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Supuestos" sheetId="2" state="visible" r:id="rId4"/>
    <sheet name="Costo unitario" sheetId="3" state="visible" r:id="rId5"/>
    <sheet name="Precio" sheetId="4" state="visible" r:id="rId6"/>
    <sheet name="Opex &amp; servicio" sheetId="5" state="visible" r:id="rId7"/>
    <sheet name="Pedido ejemplo RD" sheetId="6" state="visible" r:id="rId8"/>
    <sheet name="Fuentes y nota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<sst xmlns="http://schemas.openxmlformats.org/spreadsheetml/2006/main" count="464" uniqueCount="401">
  <si>
    <t xml:space="preserve">HBOX V6.0 — punto de precio para República Dominicana (DP World Caucedo)</t>
  </si>
  <si>
    <t xml:space="preserve">Resumen ejecutivo. Todas las cifras son fórmulas ligadas a Supuestos / Costo unitario / Precio. Fecha: 15-oct-2026. Confidencial — Helgen Technologies.</t>
  </si>
  <si>
    <t xml:space="preserve">Indicador</t>
  </si>
  <si>
    <t xml:space="preserve">Lote A</t>
  </si>
  <si>
    <t xml:space="preserve">Lote B</t>
  </si>
  <si>
    <t xml:space="preserve">Nota</t>
  </si>
  <si>
    <t xml:space="preserve">Costo por máquina (HBOX V6.0 + gabinete 24 V)</t>
  </si>
  <si>
    <t xml:space="preserve">COGS EXW Querétaro</t>
  </si>
  <si>
    <t xml:space="preserve">  tarjeta v6 (PCBA)</t>
  </si>
  <si>
    <t xml:space="preserve">  caja, paquete y periféricos</t>
  </si>
  <si>
    <t xml:space="preserve">  gabinete 24 V</t>
  </si>
  <si>
    <t xml:space="preserve">  mano de obra + empaque</t>
  </si>
  <si>
    <t xml:space="preserve">COGS CIP Santo Domingo (con garantía, flete, seguro)</t>
  </si>
  <si>
    <t xml:space="preserve">COGS DDP (si Helgen importa; arancel escenario + ITBIS)</t>
  </si>
  <si>
    <t xml:space="preserve">No vender DDP: CIP con impuestos por cuenta del cliente.</t>
  </si>
  <si>
    <t xml:space="preserve">Precio por máquina</t>
  </si>
  <si>
    <t xml:space="preserve">Precio sugerido al margen objetivo</t>
  </si>
  <si>
    <t xml:space="preserve">Margen objetivo en Supuestos.</t>
  </si>
  <si>
    <t xml:space="preserve">PRECIO DE LISTA PROPUESTO — HBOX V6.0</t>
  </si>
  <si>
    <t xml:space="preserve">PRECIO DE LISTA PROPUESTO — Gabinete 24 V equipado</t>
  </si>
  <si>
    <t xml:space="preserve">PRECIO DE LISTA POR MÁQUINA (CIP Santo Domingo)</t>
  </si>
  <si>
    <t xml:space="preserve">Margen bruto resultante</t>
  </si>
  <si>
    <t xml:space="preserve">Precio piso (50 % margen)</t>
  </si>
  <si>
    <t xml:space="preserve">Estación base RTK por terminal — precio de lista</t>
  </si>
  <si>
    <t xml:space="preserve">Instalación y puesta en marcha — por viaje (≤20 máquinas)</t>
  </si>
  <si>
    <t xml:space="preserve">Servicio mensual por máquina (hardware aparte)</t>
  </si>
  <si>
    <t xml:space="preserve">Rastreo</t>
  </si>
  <si>
    <t xml:space="preserve">Productividad</t>
  </si>
  <si>
    <t xml:space="preserve">Movimientos (TOS)</t>
  </si>
  <si>
    <t xml:space="preserve">Opex por máquina (SIM + caster + plataforma)</t>
  </si>
  <si>
    <t xml:space="preserve">HBOX como servicio — 36 meses, todo incluido</t>
  </si>
  <si>
    <t xml:space="preserve">Mensualidad Rastreo</t>
  </si>
  <si>
    <t xml:space="preserve">Mensualidad Productividad</t>
  </si>
  <si>
    <t xml:space="preserve">Mensualidad Movimientos</t>
  </si>
  <si>
    <t xml:space="preserve">Pedido ejemplo (hoja «Pedido ejemplo RD»)</t>
  </si>
  <si>
    <t xml:space="preserve">Total año 1 — 20 máquinas + 1 base + instalación + NRE + servicio</t>
  </si>
  <si>
    <t xml:space="preserve">Margen bruto del pedido</t>
  </si>
  <si>
    <t xml:space="preserve">Lo que todavía no está confirmado y mueve el precio (ver Fuentes y notas): arancel RD de la fracción 8526.91; precio real del paquete LFP-HT 26650; cotización de Aldair vs JLCPCB; caja plástica definitiva; si INDOTEL exige informe FCC del producto final; tarifa M2M de Claro/Altice.</t>
  </si>
  <si>
    <t xml:space="preserve">Supuestos — HBOX V6.0 para República Dominicana (DP World Caucedo)</t>
  </si>
  <si>
    <t xml:space="preserve">Azul = dato de entrada (editable). Fondo amarillo = supuesto clave que mueve el precio. Negro = fórmula. Verde = liga a otra hoja. Todo en USD salvo que diga MX$.</t>
  </si>
  <si>
    <t xml:space="preserve">Supuesto</t>
  </si>
  <si>
    <t xml:space="preserve">Valor</t>
  </si>
  <si>
    <t xml:space="preserve">Unidad</t>
  </si>
  <si>
    <t xml:space="preserve">Fuente / nota</t>
  </si>
  <si>
    <t xml:space="preserve">Leyenda</t>
  </si>
  <si>
    <t xml:space="preserve">Generales</t>
  </si>
  <si>
    <t xml:space="preserve">Azul = entrada editable</t>
  </si>
  <si>
    <t xml:space="preserve">Tipo de cambio</t>
  </si>
  <si>
    <t xml:space="preserve">MX$/USD</t>
  </si>
  <si>
    <t xml:space="preserve">Promedio bancario 11-oct-2026 (eldolar.info). El modelo de sep-2026 usaba 16.91: el peso se debilitó.</t>
  </si>
  <si>
    <t xml:space="preserve">Amarillo = supuesto clave</t>
  </si>
  <si>
    <t xml:space="preserve">Lote A (unidades por pedido)</t>
  </si>
  <si>
    <t xml:space="preserve">u</t>
  </si>
  <si>
    <t xml:space="preserve">Primer pedido típico (piloto pagado de 10 + reserva, o 20 máquinas).</t>
  </si>
  <si>
    <t xml:space="preserve">Negro = fórmula</t>
  </si>
  <si>
    <t xml:space="preserve">Lote B (unidades por pedido)</t>
  </si>
  <si>
    <t xml:space="preserve">Escala: compara con los 130 v6 del pedido de 570.</t>
  </si>
  <si>
    <t xml:space="preserve">Verde = liga entre hojas</t>
  </si>
  <si>
    <t xml:space="preserve">Tarifa mano de obra Helgen (cargada)</t>
  </si>
  <si>
    <t xml:space="preserve">MX$/h</t>
  </si>
  <si>
    <t xml:space="preserve">Estimado técnico de producción con prestaciones y overhead de taller. Ajustar con la nómina real.</t>
  </si>
  <si>
    <t xml:space="preserve">Horas: ensamble HBOX + flash + banco + cámara 50 °C</t>
  </si>
  <si>
    <t xml:space="preserve">h/u</t>
  </si>
  <si>
    <t xml:space="preserve">Según el procedimiento de banco V4/V5 y la prueba térmica a 50 °C que ya se hace al lote actual.</t>
  </si>
  <si>
    <t xml:space="preserve">Horas: cableado y prueba de gabinete</t>
  </si>
  <si>
    <t xml:space="preserve">Riel DIN, clemas, SPD, SSR, fuente, prueba de ignición.</t>
  </si>
  <si>
    <t xml:space="preserve">Horas: forma de producción, serie, QA final</t>
  </si>
  <si>
    <t xml:space="preserve">Acta de producción por unidad (requisito del 13-oct).</t>
  </si>
  <si>
    <t xml:space="preserve">Reserva de garantía / retrabajo</t>
  </si>
  <si>
    <t xml:space="preserve">% EXW</t>
  </si>
  <si>
    <t xml:space="preserve">Historial de fallas de campo V1 + sitio remoto (sin viaje de RMA). 5–8 % es típico en hardware industrial.</t>
  </si>
  <si>
    <t xml:space="preserve">Seguro de transporte</t>
  </si>
  <si>
    <t xml:space="preserve">0.3–0.7 % del valor asegurado, carga general.</t>
  </si>
  <si>
    <t xml:space="preserve">Tarjeta EinarBoard v6 (PCBA)</t>
  </si>
  <si>
    <t xml:space="preserve">Partes v6 por tarjeta — lote 20</t>
  </si>
  <si>
    <t xml:space="preserve">USD</t>
  </si>
  <si>
    <t xml:space="preserve">Auditoría v6 28-sep (H-10): 284 colocaciones, ZED-F9P-04B $80.11 + A7670SA $6.07. Precio BD JLCPCB (snapshot). A7670SA a $6.07 se ve bajo: confirmar al ordenar.</t>
  </si>
  <si>
    <t xml:space="preserve">Partes v6 por tarjeta — lote 100</t>
  </si>
  <si>
    <t xml:space="preserve">Mismo origen (H-10).</t>
  </si>
  <si>
    <t xml:space="preserve">PCB 4 capas 140×100 mm, impedancia controlada, ENIG — lote 20</t>
  </si>
  <si>
    <t xml:space="preserve">USD/u</t>
  </si>
  <si>
    <t xml:space="preserve">Estimado JLCPCB; con cobre interno 1 oz (J-02) sube ~15 %.</t>
  </si>
  <si>
    <t xml:space="preserve">PCB — lote 100</t>
  </si>
  <si>
    <t xml:space="preserve">Estimado JLCPCB.</t>
  </si>
  <si>
    <t xml:space="preserve">Ensamble SMT+THT+rayos X — lote 20</t>
  </si>
  <si>
    <t xml:space="preserve">Estimado JLCPCB Standard PCBA (~900 uniones, QFN/LGA con rayos X, MSL3). Sustituir por la cotización de Aldair si ensambla en México.</t>
  </si>
  <si>
    <t xml:space="preserve">Ensamble — lote 100</t>
  </si>
  <si>
    <t xml:space="preserve">Cuota de partes Extended por pedido</t>
  </si>
  <si>
    <t xml:space="preserve">USD/pedido</t>
  </si>
  <si>
    <t xml:space="preserve">79 partes Extended × $3 (H-10). Se prorratea entre el lote.</t>
  </si>
  <si>
    <t xml:space="preserve">Flete China→Querétaro por tarjeta</t>
  </si>
  <si>
    <t xml:space="preserve">DHL ~US$150–300 por 100 tarjetas (~5 kg).</t>
  </si>
  <si>
    <t xml:space="preserve">Arancel MX sobre PCBA importada</t>
  </si>
  <si>
    <t xml:space="preserve">%</t>
  </si>
  <si>
    <t xml:space="preserve">MFN ~5 % (fracción 8526.91.01 según camtomx). El IVA 16 % es acreditable: no es costo.</t>
  </si>
  <si>
    <t xml:space="preserve">Caja HBOX, periféricos y paquete (MX$)</t>
  </si>
  <si>
    <t xml:space="preserve">Caja plástica IP67 + piezas impresas (soportes, porta-pack 26650)</t>
  </si>
  <si>
    <t xml:space="preserve">MX$</t>
  </si>
  <si>
    <t xml:space="preserve">La caja ASA Series-1 costaba MX$150+70; la caja plástica comercial (pendiente: cable Ethernet no cabe) ~MX$400–500 + impresos.</t>
  </si>
  <si>
    <t xml:space="preserve">Paquete LFP-HT 26650 4P + NTC B3380 + PCM + cables</t>
  </si>
  <si>
    <t xml:space="preserve">4 celdas LFP alta temp ~US$3.5–4 c/u + PCM + armado. El 1S4P 18650 Li-ion costaba MX$204. ⚠ Sin cotización real: MOQ y plazo con proveedor chino.</t>
  </si>
  <si>
    <t xml:space="preserve">Antena GNSS multibanda L1/L2 (AS-ANT2B-ANN-L1L2-50SMA)</t>
  </si>
  <si>
    <t xml:space="preserve">BOM-master jun-2026. Alternativa Beitian/Tallysman puede bajar a ~MX$450.</t>
  </si>
  <si>
    <t xml:space="preserve">Antena LTE SMA (1×, A7670SA)</t>
  </si>
  <si>
    <t xml:space="preserve">AR1582 costaba MX$42 c/u; se toma un látigo SMA con mejor ganancia.</t>
  </si>
  <si>
    <t xml:space="preserve">Pigtails U.FL→SMA hembra bulkhead (2×) + O-rings</t>
  </si>
  <si>
    <t xml:space="preserve">MX$40–80 c/u (brief v6, 03-sep).</t>
  </si>
  <si>
    <t xml:space="preserve">Sondas NTC 10 k B3380 con JST-XH (2×)</t>
  </si>
  <si>
    <t xml:space="preserve">P7/P8 en v6.</t>
  </si>
  <si>
    <t xml:space="preserve">GX16-5 par + arnés 24 V/IGN/GND 1 m + glándula</t>
  </si>
  <si>
    <t xml:space="preserve">GX16 MX$22 + cable y glándula.</t>
  </si>
  <si>
    <t xml:space="preserve">Ventilador 24 V (P4) + ducto</t>
  </si>
  <si>
    <t xml:space="preserve">Política de ventilador ON/OFF; ducto impreso.</t>
  </si>
  <si>
    <t xml:space="preserve">Glándulas, tornillería, etiquetas, termorretráctil, pad térmico</t>
  </si>
  <si>
    <t xml:space="preserve">BOM-master línea 21.</t>
  </si>
  <si>
    <t xml:space="preserve">SIM nano (tarjeta; el plan de datos es opex)</t>
  </si>
  <si>
    <t xml:space="preserve">En RD la SIM la da Claro/Altice; si el cliente pone la SIM, poner 0.</t>
  </si>
  <si>
    <t xml:space="preserve">LED de panel + misceláneos</t>
  </si>
  <si>
    <t xml:space="preserve">Gabinete 24 V (MX$) — BOM-master jun-2026 (sin la línea de paquetería nacional MX$600)</t>
  </si>
  <si>
    <t xml:space="preserve">Gabinete IP67 ABS Yetlebox P3901 (39×29×16)</t>
  </si>
  <si>
    <t xml:space="preserve">BOM-master. Proveedor alterno («Israel») ahorra ~MX$1,284 por gabinete: decisión de compras pendiente.</t>
  </si>
  <si>
    <t xml:space="preserve">Riel DIN + clemas neutras/tierra + topes (Weidmüller/Wago)</t>
  </si>
  <si>
    <t xml:space="preserve">50 + 58 + 154 + 56.</t>
  </si>
  <si>
    <t xml:space="preserve">Clemas portafusible Phoenix PT 6-FSI/C (3×) + fusibles</t>
  </si>
  <si>
    <t xml:space="preserve">900 + 6.</t>
  </si>
  <si>
    <t xml:space="preserve">SSR ignición Weidmüller TOS 24VDC 2A</t>
  </si>
  <si>
    <t xml:space="preserve">SPD Phoenix TTC-6-TVSD-C-24DC-PT-I (2×)</t>
  </si>
  <si>
    <t xml:space="preserve">Breaker Phoenix TMC 81C 05A</t>
  </si>
  <si>
    <t xml:space="preserve">Fuente Mean Well DDR-60G-24</t>
  </si>
  <si>
    <t xml:space="preserve">Cable, ferrules, glándulas, etiquetas</t>
  </si>
  <si>
    <t xml:space="preserve">Empaque y flete internacional</t>
  </si>
  <si>
    <t xml:space="preserve">Caja doble corrugado + espuma + desecante + etiqueta</t>
  </si>
  <si>
    <t xml:space="preserve">MX$/u</t>
  </si>
  <si>
    <t xml:space="preserve">Tarima ISPM-15 + flejes + emplaye (prorrateo por 20 u)</t>
  </si>
  <si>
    <t xml:space="preserve">Flete aéreo consolidado QRO/MEX→SDQ — lote A</t>
  </si>
  <si>
    <t xml:space="preserve">~8 kg/u (0.035 m³). Forwarder ~US$4–6/kg + manejo + despacho de exportación. DHL Express de lista sale ~US$180–250 por caja: no usar.</t>
  </si>
  <si>
    <t xml:space="preserve">Flete aéreo consolidado — lote B</t>
  </si>
  <si>
    <t xml:space="preserve">Mejor tarifa por volumen.</t>
  </si>
  <si>
    <t xml:space="preserve">Alternativa: marítimo LCL Veracruz→Caucedo</t>
  </si>
  <si>
    <t xml:space="preserve">2–3 semanas; evita restricciones aéreas por baterías (UN3481, PI967 Sección II: el pack 26650 4P ≈ 46 Wh &lt; 100 Wh, permitido pero con etiquetado).</t>
  </si>
  <si>
    <t xml:space="preserve">Importación en RD (solo si Helgen vende DDP; recomendado: CIP, el cliente importa)</t>
  </si>
  <si>
    <t xml:space="preserve">Arancel RD (gravamen) sobre CIF</t>
  </si>
  <si>
    <t xml:space="preserve">⚠ NO confirmado. Bandas RD: 0/3/8/14/20 %. Electrónica tipo cómputo ~14 %, celulares 20 % (freightamigo). Fracción 8526.91 (radionavegación) podría ser 0–8 %. Que el agente aduanal del cliente confirme la fracción.</t>
  </si>
  <si>
    <t xml:space="preserve">ITBIS sobre (CIF + arancel)</t>
  </si>
  <si>
    <t xml:space="preserve">Tasa general 18 %. Si DP World es el importador, el ITBIS es crédito fiscal para ellos: por eso conviene CIP, no DDP.</t>
  </si>
  <si>
    <t xml:space="preserve">Agente aduanal + tasas portuarias (prorrateo)</t>
  </si>
  <si>
    <t xml:space="preserve">US$300–500 por embarque / 20 u.</t>
  </si>
  <si>
    <t xml:space="preserve">Precio y servicio</t>
  </si>
  <si>
    <t xml:space="preserve">Margen bruto objetivo — hardware</t>
  </si>
  <si>
    <t xml:space="preserve">55–65 % es el rango de hardware industrial vendido con servicio. Con 50 % el margen se come en garantía y soporte remoto.</t>
  </si>
  <si>
    <t xml:space="preserve">Precio de lista propuesto — HBOX V6.0 (sin gabinete)</t>
  </si>
  <si>
    <t xml:space="preserve">Redondeo comercial del precio calculado en la hoja Precio. Editable.</t>
  </si>
  <si>
    <t xml:space="preserve">Precio de lista propuesto — Gabinete 24 V equipado</t>
  </si>
  <si>
    <t xml:space="preserve">Editable.</t>
  </si>
  <si>
    <t xml:space="preserve">Precio de lista propuesto — Estación base RTK (por terminal)</t>
  </si>
  <si>
    <t xml:space="preserve">AS-PRO-CORS + gabinete 110/230 VCA (COGS MX$25.2 k) + puesta en marcha remota.</t>
  </si>
  <si>
    <t xml:space="preserve">COGS estación base (MX$)</t>
  </si>
  <si>
    <t xml:space="preserve">Hoja «Resumen costos» del BOM Maestro (base 110 VCA).</t>
  </si>
  <si>
    <t xml:space="preserve">Tasa de financiamiento HaaS (anual)</t>
  </si>
  <si>
    <t xml:space="preserve">Costo de capital de trabajo (arrendamiento/factoraje) — ethos: no financiar hardware con capital accionario.</t>
  </si>
  <si>
    <t xml:space="preserve">Plazo HaaS</t>
  </si>
  <si>
    <t xml:space="preserve">meses</t>
  </si>
  <si>
    <t xml:space="preserve">Opex: SIM datos RD (1–3 GB/mes, Claro/Altice M2M)</t>
  </si>
  <si>
    <t xml:space="preserve">USD/u/mes</t>
  </si>
  <si>
    <t xml:space="preserve">RTCM3 ~0.5–1 kB/s continuo = 1.3–2.6 GB/mes + NMEA. Estimado; pedir cotización M2M a Claro DO / Altice.</t>
  </si>
  <si>
    <t xml:space="preserve">Opex: caster NTRIP + servidor + Loki (prorrateo)</t>
  </si>
  <si>
    <t xml:space="preserve">Opex: plataforma (htracker/Wialon) + soporte N2</t>
  </si>
  <si>
    <t xml:space="preserve">Wialon vía partner ~US$1.5–3/u/mes + horas de soporte.</t>
  </si>
  <si>
    <t xml:space="preserve">Tarifa mensual — nivel Rastreo</t>
  </si>
  <si>
    <t xml:space="preserve">USD/máquina/mes</t>
  </si>
  <si>
    <t xml:space="preserve">Hardware aparte. GPS genérico cuesta US$12–25/mes (gpsinsight, geoforce): el RTK + soporte en español justifica el doble.</t>
  </si>
  <si>
    <t xml:space="preserve">Tarifa mensual — nivel Productividad</t>
  </si>
  <si>
    <t xml:space="preserve">≈1.7× Rastreo (hipótesis del deck comercial: 1.5–2×).</t>
  </si>
  <si>
    <t xml:space="preserve">Tarifa mensual — nivel Movimientos (TOS)</t>
  </si>
  <si>
    <t xml:space="preserve">≈2.4× Rastreo (hipótesis: 2–3×). Requiere integración nGen/N4 (cargo único aparte).</t>
  </si>
  <si>
    <t xml:space="preserve">Reserva de refacciones en sitio</t>
  </si>
  <si>
    <t xml:space="preserve">% unidades</t>
  </si>
  <si>
    <t xml:space="preserve">RD es remoto: 10 % de unidades extra en sitio en lugar de RMA por avión.</t>
  </si>
  <si>
    <t xml:space="preserve">Instalación y puesta en marcha (viaje Helgen a Caucedo)</t>
  </si>
  <si>
    <t xml:space="preserve">Técnicos que viajan</t>
  </si>
  <si>
    <t xml:space="preserve">personas</t>
  </si>
  <si>
    <t xml:space="preserve">Días en sitio</t>
  </si>
  <si>
    <t xml:space="preserve">días</t>
  </si>
  <si>
    <t xml:space="preserve">Primer lote: instalación supervisada + capacitación a contratista local.</t>
  </si>
  <si>
    <t xml:space="preserve">Vuelo redondo QRO/MEX→SDQ</t>
  </si>
  <si>
    <t xml:space="preserve">USD/persona</t>
  </si>
  <si>
    <t xml:space="preserve">Copa desde ~US$340–430; con escala y temporada ~US$600.</t>
  </si>
  <si>
    <t xml:space="preserve">Hotel</t>
  </si>
  <si>
    <t xml:space="preserve">USD/noche</t>
  </si>
  <si>
    <t xml:space="preserve">Viáticos</t>
  </si>
  <si>
    <t xml:space="preserve">USD/día</t>
  </si>
  <si>
    <t xml:space="preserve">Transporte local y misceláneos del viaje</t>
  </si>
  <si>
    <t xml:space="preserve">USD/viaje</t>
  </si>
  <si>
    <t xml:space="preserve">Horas facturables por técnico y día</t>
  </si>
  <si>
    <t xml:space="preserve">h</t>
  </si>
  <si>
    <t xml:space="preserve">Tarifa de ingeniería en sitio (precio)</t>
  </si>
  <si>
    <t xml:space="preserve">USD/h</t>
  </si>
  <si>
    <t xml:space="preserve">Precio de venta de la hora, no el costo.</t>
  </si>
  <si>
    <t xml:space="preserve">Máquinas que se instalan por viaje</t>
  </si>
  <si>
    <t xml:space="preserve">Homologación y NRE del país</t>
  </si>
  <si>
    <t xml:space="preserve">Cuota INDOTEL (certificado de homologación)</t>
  </si>
  <si>
    <t xml:space="preserve">RD$13,000 o US$225; 18 días hábiles; acepta FCC ID (indotel.org.do).</t>
  </si>
  <si>
    <t xml:space="preserve">Pruebas de laboratorio FCC Part 15B / informe host (si INDOTEL lo pide)</t>
  </si>
  <si>
    <t xml:space="preserve">⚠ A7670SA-LASC es variante LatAm: verificar si tiene FCC ID o solo CE/Anatel. Si hace falta informe del producto final: US$3–8 k y ~10 semanas (ib-lenhardt).</t>
  </si>
  <si>
    <t xml:space="preserve">Unidades sobre las que se amortiza el NRE</t>
  </si>
  <si>
    <t xml:space="preserve">Costo unitario por máquina — HBOX V6.0 + gabinete 24 V (USD)</t>
  </si>
  <si>
    <t xml:space="preserve">Columnas: Lote A y Lote B según Supuestos. Verde = liga a Supuestos. EXW = Querétaro; CIP = puesto en Santo Domingo con seguro; DDP = con arancel e ITBIS pagados (solo referencia).</t>
  </si>
  <si>
    <t xml:space="preserve">Concepto</t>
  </si>
  <si>
    <t xml:space="preserve">Base MX$</t>
  </si>
  <si>
    <t xml:space="preserve">Lote A (USD)</t>
  </si>
  <si>
    <t xml:space="preserve">Lote B (USD)</t>
  </si>
  <si>
    <t xml:space="preserve">A. Tarjeta EinarBoard v6 — PCBA puesta en Querétaro</t>
  </si>
  <si>
    <t xml:space="preserve">Partes (BOM v6, BD JLCPCB)</t>
  </si>
  <si>
    <t xml:space="preserve">H-10 de la auditoría v6. Incluye ZED-F9P-04B y A7670SA.</t>
  </si>
  <si>
    <t xml:space="preserve">PCB 4 capas, impedancia controlada</t>
  </si>
  <si>
    <t xml:space="preserve">Ensamble SMT/THT + rayos X</t>
  </si>
  <si>
    <t xml:space="preserve">O cotización de Aldair.</t>
  </si>
  <si>
    <t xml:space="preserve">Cuota partes Extended (prorrateo)</t>
  </si>
  <si>
    <t xml:space="preserve">Flete China→MX</t>
  </si>
  <si>
    <t xml:space="preserve">Arancel MX (IVA excluido: acreditable)</t>
  </si>
  <si>
    <t xml:space="preserve">Subtotal A — PCBA v6</t>
  </si>
  <si>
    <t xml:space="preserve">Sustituye al simpleRTK2B Pro + 4G NTRIP Master (MX$5,780 en Series 1).</t>
  </si>
  <si>
    <t xml:space="preserve">B. Caja HBOX, paquete y periféricos</t>
  </si>
  <si>
    <t xml:space="preserve">Caja plástica IP67 + impresos</t>
  </si>
  <si>
    <t xml:space="preserve">Paquete LFP-HT 26650 4P + NTC + PCM</t>
  </si>
  <si>
    <t xml:space="preserve">Antena GNSS multibanda</t>
  </si>
  <si>
    <t xml:space="preserve">Antena LTE</t>
  </si>
  <si>
    <t xml:space="preserve">Pigtails U.FL→SMA (2×)</t>
  </si>
  <si>
    <t xml:space="preserve">Sondas NTC (2×)</t>
  </si>
  <si>
    <t xml:space="preserve">GX16-5 + arnés</t>
  </si>
  <si>
    <t xml:space="preserve">Ventilador + ducto</t>
  </si>
  <si>
    <t xml:space="preserve">Glándulas, tornillería, etiquetas</t>
  </si>
  <si>
    <t xml:space="preserve">SIM nano</t>
  </si>
  <si>
    <t xml:space="preserve">LED + misceláneos</t>
  </si>
  <si>
    <t xml:space="preserve">Subtotal B — caja y periféricos</t>
  </si>
  <si>
    <t xml:space="preserve">C. Gabinete 24 V equipado</t>
  </si>
  <si>
    <t xml:space="preserve">Gabinete IP67 ABS P3901</t>
  </si>
  <si>
    <t xml:space="preserve">Riel DIN, clemas, topes</t>
  </si>
  <si>
    <t xml:space="preserve">Portafusibles + fusibles</t>
  </si>
  <si>
    <t xml:space="preserve">SSR ignición</t>
  </si>
  <si>
    <t xml:space="preserve">SPD (2×)</t>
  </si>
  <si>
    <t xml:space="preserve">Breaker</t>
  </si>
  <si>
    <t xml:space="preserve">Fuente DDR-60G-24</t>
  </si>
  <si>
    <t xml:space="preserve">Cable, ferrules, etiquetas</t>
  </si>
  <si>
    <t xml:space="preserve">Subtotal C — gabinete</t>
  </si>
  <si>
    <t xml:space="preserve">La línea más grande del costo: objetivo de reducción (proveedor alterno −MX$1,284).</t>
  </si>
  <si>
    <t xml:space="preserve">D. Mano de obra Helgen</t>
  </si>
  <si>
    <t xml:space="preserve">Ensamble HBOX + flash + banco + cámara 50 °C</t>
  </si>
  <si>
    <t xml:space="preserve">Cableado y prueba de gabinete</t>
  </si>
  <si>
    <t xml:space="preserve">Forma de producción + QA</t>
  </si>
  <si>
    <t xml:space="preserve">Subtotal D — mano de obra</t>
  </si>
  <si>
    <t xml:space="preserve">E. Empaque de exportación</t>
  </si>
  <si>
    <t xml:space="preserve">Caja, espuma, desecante, etiqueta</t>
  </si>
  <si>
    <t xml:space="preserve">Tarima ISPM-15, flejes (prorrateo)</t>
  </si>
  <si>
    <t xml:space="preserve">Subtotal E — empaque</t>
  </si>
  <si>
    <t xml:space="preserve">Totales por máquina</t>
  </si>
  <si>
    <t xml:space="preserve">COGS EXW Querétaro (A+B+C+D+E)</t>
  </si>
  <si>
    <t xml:space="preserve">Flete aéreo a Santo Domingo</t>
  </si>
  <si>
    <t xml:space="preserve">Marítimo LCL como alternativa (Supuestos).</t>
  </si>
  <si>
    <t xml:space="preserve">COGS CIP Santo Domingo (base para el precio)</t>
  </si>
  <si>
    <t xml:space="preserve">  + Arancel RD (escenario)</t>
  </si>
  <si>
    <t xml:space="preserve">  + ITBIS 18 % sobre CIF+arancel</t>
  </si>
  <si>
    <t xml:space="preserve">  + Agente aduanal / puerto</t>
  </si>
  <si>
    <t xml:space="preserve">COGS DDP Caucedo (solo si Helgen importa)</t>
  </si>
  <si>
    <t xml:space="preserve">Recomendación: cotizar CIP/DAP y que DP World importe (recupera el ITBIS, tiene agente y RNC).</t>
  </si>
  <si>
    <t xml:space="preserve">Desglose por producto (para fijar precio de lista separado)</t>
  </si>
  <si>
    <t xml:space="preserve">COGS HBOX V6.0 solo (A + B + MO HBOX/QA + su empaque) EXW</t>
  </si>
  <si>
    <t xml:space="preserve">40 % del empaque al HBOX, 60 % al gabinete.</t>
  </si>
  <si>
    <t xml:space="preserve">COGS gabinete 24 V equipado (C + MO gabinete + su empaque) EXW</t>
  </si>
  <si>
    <t xml:space="preserve">Comprobación (debe ser 0)</t>
  </si>
  <si>
    <t xml:space="preserve">Participación del HBOX en el COGS EXW</t>
  </si>
  <si>
    <t xml:space="preserve">Precio por máquina — construcción desde el COGS CIP Santo Domingo</t>
  </si>
  <si>
    <t xml:space="preserve">Precio sugerido = COGS CIP ÷ (1 − margen). El precio de lista propuesto se fija en Supuestos (redondeado) y aquí se ve el margen que resulta.</t>
  </si>
  <si>
    <t xml:space="preserve">1. Costo base</t>
  </si>
  <si>
    <t xml:space="preserve">COGS CIP por máquina (HBOX + gabinete)</t>
  </si>
  <si>
    <t xml:space="preserve">De la hoja Costo unitario.</t>
  </si>
  <si>
    <t xml:space="preserve">  del cual HBOX V6.0 (prorrateo de garantía/flete/seguro)</t>
  </si>
  <si>
    <t xml:space="preserve">  del cual gabinete 24 V</t>
  </si>
  <si>
    <t xml:space="preserve">2. Precio sugerido por margen bruto objetivo</t>
  </si>
  <si>
    <t xml:space="preserve">Precio a 50 % de margen bruto</t>
  </si>
  <si>
    <t xml:space="preserve">Precio a 55 % de margen bruto</t>
  </si>
  <si>
    <t xml:space="preserve">Precio a 60 % de margen bruto</t>
  </si>
  <si>
    <t xml:space="preserve">Precio a 65 % de margen bruto</t>
  </si>
  <si>
    <t xml:space="preserve">Precio sugerido al margen objetivo (Supuestos)</t>
  </si>
  <si>
    <t xml:space="preserve">  HBOX V6.0 solo, al margen objetivo</t>
  </si>
  <si>
    <t xml:space="preserve">  Gabinete 24 V solo, al margen objetivo</t>
  </si>
  <si>
    <t xml:space="preserve">3. Precio de lista propuesto (Supuestos) y margen resultante</t>
  </si>
  <si>
    <t xml:space="preserve">Precio de lista HBOX V6.0</t>
  </si>
  <si>
    <t xml:space="preserve">Mismo precio de lista en ambos lotes; el descuento por volumen se negocia aparte.</t>
  </si>
  <si>
    <t xml:space="preserve">Precio de lista gabinete 24 V equipado</t>
  </si>
  <si>
    <t xml:space="preserve">Precio de lista por máquina (HBOX + gabinete), CIP Santo Domingo</t>
  </si>
  <si>
    <t xml:space="preserve">Margen bruto resultante por máquina</t>
  </si>
  <si>
    <t xml:space="preserve">  margen HBOX solo</t>
  </si>
  <si>
    <t xml:space="preserve">  margen gabinete solo</t>
  </si>
  <si>
    <t xml:space="preserve">Precio piso (50 % de margen) — no bajar de aquí sin volumen</t>
  </si>
  <si>
    <t xml:space="preserve">Por debajo, la garantía y el soporte remoto se comen la utilidad.</t>
  </si>
  <si>
    <t xml:space="preserve">Descuento máximo desde lista hasta el piso</t>
  </si>
  <si>
    <t xml:space="preserve">4. Referencia: si el cliente exige DDP (Helgen paga arancel + ITBIS)</t>
  </si>
  <si>
    <t xml:space="preserve">COGS DDP por máquina</t>
  </si>
  <si>
    <t xml:space="preserve">Precio DDP al mismo margen objetivo</t>
  </si>
  <si>
    <t xml:space="preserve">Mejor: precio CIP + «impuestos de importación por cuenta del cliente».</t>
  </si>
  <si>
    <t xml:space="preserve">5. Otros conceptos del proyecto</t>
  </si>
  <si>
    <t xml:space="preserve">Estación base RTK — COGS (USD)</t>
  </si>
  <si>
    <t xml:space="preserve">1 por terminal. Incluye AS-PRO-CORS, gabinete 110/230 VCA.</t>
  </si>
  <si>
    <t xml:space="preserve">Estación base RTK — precio de lista</t>
  </si>
  <si>
    <t xml:space="preserve">  margen estación base</t>
  </si>
  <si>
    <t xml:space="preserve">Viaje de instalación — costo (vuelos, hotel, viáticos, transporte)</t>
  </si>
  <si>
    <t xml:space="preserve">Ingeniería en sitio — precio (técnicos × días × h × tarifa)</t>
  </si>
  <si>
    <t xml:space="preserve">Instalación y puesta en marcha — precio por viaje (hasta i_umax máquinas)</t>
  </si>
  <si>
    <t xml:space="preserve">Gastos de viaje con 15 % de manejo + horas de ingeniería.</t>
  </si>
  <si>
    <t xml:space="preserve">  equivalente por máquina</t>
  </si>
  <si>
    <t xml:space="preserve">Homologación INDOTEL + pruebas (NRE del país)</t>
  </si>
  <si>
    <t xml:space="preserve">Cargo único al primer cliente del país o amortizado en el lote.</t>
  </si>
  <si>
    <t xml:space="preserve">  amortizado por unidad</t>
  </si>
  <si>
    <t xml:space="preserve">6. HBOX como servicio (HaaS) — mensualidad por máquina</t>
  </si>
  <si>
    <t xml:space="preserve">Hardware financiado (PMT sobre precio de lista, tasa y plazo de Supuestos)</t>
  </si>
  <si>
    <t xml:space="preserve">HaaS — Rastreo (hardware + servicio)</t>
  </si>
  <si>
    <t xml:space="preserve">Ver hoja Opex &amp; servicio para el margen del servicio.</t>
  </si>
  <si>
    <t xml:space="preserve">HaaS — Productividad</t>
  </si>
  <si>
    <t xml:space="preserve">HaaS — Movimientos</t>
  </si>
  <si>
    <t xml:space="preserve">Valor del contrato a 36 meses por máquina — Productividad</t>
  </si>
  <si>
    <t xml:space="preserve">Servicio mensual por máquina — costo, tarifa por nivel y margen</t>
  </si>
  <si>
    <t xml:space="preserve">Opex de Supuestos. Tarifas de nivel en Supuestos (azul).</t>
  </si>
  <si>
    <t xml:space="preserve">USD / máquina / mes</t>
  </si>
  <si>
    <t xml:space="preserve">Costo del servicio</t>
  </si>
  <si>
    <t xml:space="preserve">SIM datos RD</t>
  </si>
  <si>
    <t xml:space="preserve">Caster NTRIP + servidor + logs</t>
  </si>
  <si>
    <t xml:space="preserve">Plataforma + soporte N2</t>
  </si>
  <si>
    <t xml:space="preserve">Opex total por máquina</t>
  </si>
  <si>
    <t xml:space="preserve">Tarifa y margen por nivel</t>
  </si>
  <si>
    <t xml:space="preserve">Rastreo — tarifa</t>
  </si>
  <si>
    <t xml:space="preserve">  margen</t>
  </si>
  <si>
    <t xml:space="preserve">Productividad — tarifa</t>
  </si>
  <si>
    <t xml:space="preserve">Movimientos — tarifa</t>
  </si>
  <si>
    <t xml:space="preserve">Movimientos lleva además integración TOS (cargo único) y más soporte: el margen real es menor.</t>
  </si>
  <si>
    <t xml:space="preserve">Referencias de mercado</t>
  </si>
  <si>
    <t xml:space="preserve">GPS genérico de equipo (LTE-M/BLE) — servicio</t>
  </si>
  <si>
    <t xml:space="preserve">gpsinsight 2026: US$12–20/mes; hardware US$99–499.</t>
  </si>
  <si>
    <t xml:space="preserve">Geoforce (todo incluido, hardware + datos)</t>
  </si>
  <si>
    <t xml:space="preserve">GT1c US$10 … GO9 US$26 al mes, sin pago inicial.</t>
  </si>
  <si>
    <t xml:space="preserve">Satelital rugerizado — servicio</t>
  </si>
  <si>
    <t xml:space="preserve">gpsinsight: US$20–25/mes.</t>
  </si>
  <si>
    <t xml:space="preserve">Cotización ejemplo — DP World Caucedo (CIP Santo Domingo, impuestos de importación por cuenta del cliente)</t>
  </si>
  <si>
    <t xml:space="preserve">Cambia N máquinas y bases. Precios de lista de Supuestos; costos de Costo unitario (Lote A).</t>
  </si>
  <si>
    <t xml:space="preserve">Cant.</t>
  </si>
  <si>
    <t xml:space="preserve">Precio unit. (USD)</t>
  </si>
  <si>
    <t xml:space="preserve">Importe (USD)</t>
  </si>
  <si>
    <t xml:space="preserve">Costo (USD)</t>
  </si>
  <si>
    <t xml:space="preserve">Margen</t>
  </si>
  <si>
    <t xml:space="preserve">HBOX V6.0 (RTK + LTE a bordo)</t>
  </si>
  <si>
    <t xml:space="preserve">Precio de lista; descuento por volumen se negocia sobre el piso de la hoja Precio.</t>
  </si>
  <si>
    <t xml:space="preserve">Gabinete 24 V equipado (SPD, breaker, SSR, DDR-60G-24)</t>
  </si>
  <si>
    <t xml:space="preserve">Refacciones en sitio (HBOX completos, reserva)</t>
  </si>
  <si>
    <t xml:space="preserve">10 % de unidades: evita RMA por avión.</t>
  </si>
  <si>
    <t xml:space="preserve">Estación base RTK + caster (por terminal)</t>
  </si>
  <si>
    <t xml:space="preserve">Instalación y puesta en marcha (viaje, hasta 20 máquinas)</t>
  </si>
  <si>
    <t xml:space="preserve">Incluye capacitación a contratista local. Hospedaje y vuelos pueden ir «a costo».</t>
  </si>
  <si>
    <t xml:space="preserve">Homologación INDOTEL + pruebas (cargo único del país)</t>
  </si>
  <si>
    <t xml:space="preserve">Al costo. Si INDOTEL acepta el FCC ID del módulo, cae a ~US$225.</t>
  </si>
  <si>
    <t xml:space="preserve">Servicio nivel Productividad — año 1 (12 meses)</t>
  </si>
  <si>
    <t xml:space="preserve">Facturable mensual o anual anticipado.</t>
  </si>
  <si>
    <t xml:space="preserve">TOTAL AÑO 1 (hardware + servicios)</t>
  </si>
  <si>
    <t xml:space="preserve">  de los cuales hardware (HBOX + gabinete + refacciones + base)</t>
  </si>
  <si>
    <t xml:space="preserve">  por máquina, año 1 (todo incluido)</t>
  </si>
  <si>
    <t xml:space="preserve">Referencia si el cliente pide DDP: impuestos de importación estimados sobre el hardware</t>
  </si>
  <si>
    <t xml:space="preserve">  Arancel RD (escenario de Supuestos) sobre CIF hardware</t>
  </si>
  <si>
    <t xml:space="preserve">  ITBIS 18 % sobre CIF + arancel</t>
  </si>
  <si>
    <t xml:space="preserve">  Total impuestos de importación (por cuenta del cliente en CIP; para DP World el ITBIS es acreditable)</t>
  </si>
  <si>
    <t xml:space="preserve">Piloto pagado sugerido: 10 máquinas × 90 días — mismo precio de lista de hardware, 3 meses de Productividad, precio de conversión pactado (sin pilotos gratis).</t>
  </si>
  <si>
    <t xml:space="preserve">Fuentes, supuestos y riesgos del modelo</t>
  </si>
  <si>
    <t xml:space="preserve">Tema</t>
  </si>
  <si>
    <t xml:space="preserve">Detalle</t>
  </si>
  <si>
    <t xml:space="preserve">Partes tarjeta v6</t>
  </si>
  <si>
    <t xml:space="preserve">Auditoría completa EinarBoard v6, 28-sep-2026, hallazgo H-10: US$131.98 (20 pzas) / US$124.40 (100 pzas), 79 partes Extended = US$237 de setup. Precios = snapshot de la BD JLCPCB; A7670SA a US$6.07 se ve bajo. Repo: 03-Architecture-Hardware/2026-09-28_v6-audit-attachments/FHJ_layout_bom_ercdrc.md.</t>
  </si>
  <si>
    <t xml:space="preserve">PCB + ensamble</t>
  </si>
  <si>
    <t xml:space="preserve">Estimación propia de JLCPCB para 4 capas 140×100 mm con impedancia controlada y rayos X. Si Aldair ensambla en México, su cotización sustituye estas tres líneas.</t>
  </si>
  <si>
    <t xml:space="preserve">Caja HBOX y periféricos</t>
  </si>
  <si>
    <t xml:space="preserve">BOM-master.md (jun-2026) y brief v6 (03-sep: pigtails, NTC). La caja plástica comercial está en definición (el cable Ethernet no cabe, kanban 13-oct); MX$550 es estimado.</t>
  </si>
  <si>
    <t xml:space="preserve">Paquete LFP-HT 26650</t>
  </si>
  <si>
    <t xml:space="preserve">Decisión 28-sep (V5.6 ECO): LFP alta temperatura 26650 4P + NTC B3380 + PCM. Sin cotización: MX$420 asume ~US$3.5–4/celda + PCM + armado. El 1S4P 18650 Li-ion costaba MX$204.</t>
  </si>
  <si>
    <t xml:space="preserve">Gabinete 24 V</t>
  </si>
  <si>
    <t xml:space="preserve">Drogheda-BOM-Maestro.xlsx hoja «Gabinete 24V» (jun-2026), MX$6,365 menos MX$600 de paquetería nacional = MX$5,765. Proveedor alterno («Israel») ahorra ~MX$1,284.</t>
  </si>
  <si>
    <t xml:space="preserve">Estación base</t>
  </si>
  <si>
    <t xml:space="preserve">Drogheda-BOM-Maestro.xlsx «Resumen costos»: Base Station 110 VCA MX$25,209 (AS-PRO-CORS MX$16,760).</t>
  </si>
  <si>
    <t xml:space="preserve">eldolar.info, promedio bancario 11-oct-2026: 18.2569 MX$/USD (https://www.eldolar.info/es-MX/mexico/dia/20261011).</t>
  </si>
  <si>
    <t xml:space="preserve">Importación RD</t>
  </si>
  <si>
    <t xml:space="preserve">ITBIS 18 % sobre CIF + arancel; bandas arancelarias 0/3/8/14/20 %; cómputo ~14 %, celulares ~20 % (FreightAmigo, mar-2026: https://www.freightamigo.com/en/blog/logistics/understanding-import-taxes-and-customs-duties-in-the-dominican-republic-a-comprehensive-guide/). La fracción 8526.91 NO se pudo confirmar en línea: pedir al agente aduanal del cliente. Arancel de Aduanas 7ma enmienda 2022: https://www.aduanas.gob.do/consultas/arancel-de-aduanas-7ma-enmienda-2022/</t>
  </si>
  <si>
    <t xml:space="preserve">Homologación INDOTEL</t>
  </si>
  <si>
    <t xml:space="preserve">Ley 153-98; cuota RD$13,000 / US$225; 18 días hábiles; acepta FCC ID; puede pedir prototipo (https://indotel.org.do/como-homologar-equipos-de-telecomunicaciones-en-republica-dominicana/). IB-Lenhardt: ~10 semanas, validez ilimitada, sin representante local (https://ib-lenhardt.com/type-approval/dominican-republic). ⚠ Verificar si A7670SA-LASC tiene FCC ID; si no, presupuestar informe del producto final.</t>
  </si>
  <si>
    <t xml:space="preserve">Bandas LTE RD</t>
  </si>
  <si>
    <t xml:space="preserve">Claro DO y Altice DO operan LTE en B2 (1900), B4 (AWS), B7 (2600) y B28 (700). A7670SA cubre B1/2/3/4/5/7/8/28/66: compatible. Confirmar con una SIM local en el primer prototipo.</t>
  </si>
  <si>
    <t xml:space="preserve">Flete</t>
  </si>
  <si>
    <t xml:space="preserve">Estimación: ~8 kg y 0.035 m³ por máquina; aéreo consolidado US$4–6/kg + manejo; DHL Express de lista es 3–4× más caro. Marítimo LCL Veracruz→Caucedo ~US$25/u. Baterías: UN3481 PI967 Sección II (pack ≈46 Wh).</t>
  </si>
  <si>
    <t xml:space="preserve">Mercado (servicio)</t>
  </si>
  <si>
    <t xml:space="preserve">gpsinsight 2026: hardware US$99–499, servicio US$12–25/mes (https://www.gpsinsight.com/blog/best-equipment-tracking-devices/). Geoforce todo incluido US$10–26/mes (https://llms.geoforce.com/the-cost-breakdown-of-geoforce-gps-trackers). Deck comercial 6-oct: anclar al valor, no al GPS genérico; piloto pagado 10 máquinas / 90 días.</t>
  </si>
  <si>
    <t xml:space="preserve">Lo que NO se usó</t>
  </si>
  <si>
    <t xml:space="preserve">El precio previo a Hutchison, por instrucción de Leo (15-oct-2026). Este modelo parte de costo + margen + referencias de mercado.</t>
  </si>
  <si>
    <t xml:space="preserve">Incoterm recomendado</t>
  </si>
  <si>
    <t xml:space="preserve">CIP Santo Domingo (Incoterms 2020): Helgen paga flete y seguro; DP World es importador de registro (tiene RNC, agente y acredita el ITBIS). Evita que Helgen necesite entidad/RNC en RD.</t>
  </si>
  <si>
    <t xml:space="preserve">Moneda</t>
  </si>
  <si>
    <t xml:space="preserve">Cotizar en USD. ~55 % del COGS está en MX$ (gabinete, mano de obra, caja): una apreciación del peso de 10 % baja el margen ~3 puntos. Revisar el tipo de cambio al cotizar.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</si>
</sst>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0.0%"/>
    <numFmt numFmtId="167" formatCode="#,##0.00"/>
    <numFmt numFmtId="168" formatCode="#,##0"/>
    <numFmt numFmtId="169" formatCode="\$#,##0.00;&quot;($&quot;#,##0.00\);\-"/>
    <numFmt numFmtId="170" formatCode="&quot;MX$&quot;#,##0;&quot;(MX$&quot;#,##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6"/>
    <col collapsed="false" customWidth="true" hidden="false" outlineLevel="0" max="4" min="4" style="0" width="7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B3" s="3" t="str">
        <f aca="false">"Lote A = "&amp;Supuestos!$B$7&amp;" u"</f>
        <v>Lote A = 20 u</v>
      </c>
      <c r="C3" s="3" t="str">
        <f aca="false">"Lote B = "&amp;Supuestos!$B$8&amp;" u"</f>
        <v>Lote B = 100 u</v>
      </c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/>
      <c r="C5" s="6"/>
      <c r="D5" s="6"/>
    </row>
    <row r="6" customFormat="false" ht="15" hidden="false" customHeight="false" outlineLevel="0" collapsed="false">
      <c r="A6" s="7" t="s">
        <v>7</v>
      </c>
      <c r="B6" s="8" t="n">
        <f aca="false">'Costo unitario'!C46</f>
        <v>717.422150684932</v>
      </c>
      <c r="C6" s="8" t="n">
        <f aca="false">'Costo unitario'!D46</f>
        <v>685.808150684932</v>
      </c>
      <c r="D6" s="9"/>
    </row>
    <row r="7" customFormat="false" ht="15" hidden="false" customHeight="false" outlineLevel="0" collapsed="false">
      <c r="A7" s="7" t="s">
        <v>8</v>
      </c>
      <c r="B7" s="8" t="n">
        <f aca="false">'Costo unitario'!C12</f>
        <v>184.929</v>
      </c>
      <c r="C7" s="8" t="n">
        <f aca="false">'Costo unitario'!D12</f>
        <v>153.315</v>
      </c>
      <c r="D7" s="9"/>
    </row>
    <row r="8" customFormat="false" ht="15" hidden="false" customHeight="false" outlineLevel="0" collapsed="false">
      <c r="A8" s="7" t="s">
        <v>9</v>
      </c>
      <c r="B8" s="8" t="n">
        <f aca="false">'Costo unitario'!C25</f>
        <v>127.780821917808</v>
      </c>
      <c r="C8" s="8" t="n">
        <f aca="false">'Costo unitario'!D25</f>
        <v>127.780821917808</v>
      </c>
      <c r="D8" s="9"/>
    </row>
    <row r="9" customFormat="false" ht="15" hidden="false" customHeight="false" outlineLevel="0" collapsed="false">
      <c r="A9" s="7" t="s">
        <v>10</v>
      </c>
      <c r="B9" s="8" t="n">
        <f aca="false">'Costo unitario'!C35</f>
        <v>315.671232876712</v>
      </c>
      <c r="C9" s="8" t="n">
        <f aca="false">'Costo unitario'!D35</f>
        <v>315.671232876712</v>
      </c>
      <c r="D9" s="9"/>
    </row>
    <row r="10" customFormat="false" ht="15" hidden="false" customHeight="false" outlineLevel="0" collapsed="false">
      <c r="A10" s="7" t="s">
        <v>11</v>
      </c>
      <c r="B10" s="8" t="n">
        <f aca="false">'Costo unitario'!C40+'Costo unitario'!C44</f>
        <v>89.041095890411</v>
      </c>
      <c r="C10" s="8" t="n">
        <f aca="false">'Costo unitario'!D40+'Costo unitario'!D44</f>
        <v>89.041095890411</v>
      </c>
      <c r="D10" s="9"/>
    </row>
    <row r="11" customFormat="false" ht="15" hidden="false" customHeight="false" outlineLevel="0" collapsed="false">
      <c r="A11" s="10" t="s">
        <v>12</v>
      </c>
      <c r="B11" s="11" t="n">
        <f aca="false">'Costo unitario'!C50</f>
        <v>824.054590479452</v>
      </c>
      <c r="C11" s="11" t="n">
        <f aca="false">'Costo unitario'!D50</f>
        <v>770.385680479452</v>
      </c>
      <c r="D11" s="9"/>
    </row>
    <row r="12" customFormat="false" ht="15" hidden="false" customHeight="false" outlineLevel="0" collapsed="false">
      <c r="A12" s="7" t="s">
        <v>13</v>
      </c>
      <c r="B12" s="8" t="n">
        <f aca="false">'Costo unitario'!C54</f>
        <v>1070.17517010701</v>
      </c>
      <c r="C12" s="8" t="n">
        <f aca="false">'Costo unitario'!D54</f>
        <v>1001.77951120301</v>
      </c>
      <c r="D12" s="9" t="s">
        <v>14</v>
      </c>
    </row>
    <row r="13" customFormat="false" ht="15" hidden="false" customHeight="false" outlineLevel="0" collapsed="false">
      <c r="A13" s="5" t="s">
        <v>15</v>
      </c>
      <c r="B13" s="6"/>
      <c r="C13" s="6"/>
      <c r="D13" s="6"/>
    </row>
    <row r="14" customFormat="false" ht="15" hidden="false" customHeight="false" outlineLevel="0" collapsed="false">
      <c r="A14" s="7" t="s">
        <v>16</v>
      </c>
      <c r="B14" s="8" t="n">
        <f aca="false">Precio!B14</f>
        <v>1962.03473923679</v>
      </c>
      <c r="C14" s="8" t="n">
        <f aca="false">Precio!C14</f>
        <v>1834.25162018917</v>
      </c>
      <c r="D14" s="9" t="s">
        <v>17</v>
      </c>
    </row>
    <row r="15" customFormat="false" ht="15" hidden="false" customHeight="false" outlineLevel="0" collapsed="false">
      <c r="A15" s="10" t="s">
        <v>18</v>
      </c>
      <c r="B15" s="11" t="n">
        <f aca="false">Precio!B18</f>
        <v>1150</v>
      </c>
      <c r="C15" s="11" t="n">
        <f aca="false">Precio!C18</f>
        <v>1150</v>
      </c>
      <c r="D15" s="9"/>
    </row>
    <row r="16" customFormat="false" ht="15" hidden="false" customHeight="false" outlineLevel="0" collapsed="false">
      <c r="A16" s="10" t="s">
        <v>19</v>
      </c>
      <c r="B16" s="11" t="n">
        <f aca="false">Precio!B19</f>
        <v>800</v>
      </c>
      <c r="C16" s="11" t="n">
        <f aca="false">Precio!C19</f>
        <v>800</v>
      </c>
      <c r="D16" s="9"/>
    </row>
    <row r="17" customFormat="false" ht="15" hidden="false" customHeight="false" outlineLevel="0" collapsed="false">
      <c r="A17" s="10" t="s">
        <v>20</v>
      </c>
      <c r="B17" s="11" t="n">
        <f aca="false">Precio!B20</f>
        <v>1950</v>
      </c>
      <c r="C17" s="11" t="n">
        <f aca="false">Precio!C20</f>
        <v>1950</v>
      </c>
      <c r="D17" s="9"/>
    </row>
    <row r="18" customFormat="false" ht="15" hidden="false" customHeight="false" outlineLevel="0" collapsed="false">
      <c r="A18" s="12" t="s">
        <v>21</v>
      </c>
      <c r="B18" s="13" t="n">
        <f aca="false">Precio!B21</f>
        <v>0.57740790231823</v>
      </c>
      <c r="C18" s="13" t="n">
        <f aca="false">Precio!C21</f>
        <v>0.604930420266948</v>
      </c>
      <c r="D18" s="9"/>
    </row>
    <row r="19" customFormat="false" ht="15" hidden="false" customHeight="false" outlineLevel="0" collapsed="false">
      <c r="A19" s="7" t="s">
        <v>22</v>
      </c>
      <c r="B19" s="8" t="n">
        <f aca="false">Precio!B24</f>
        <v>1648.1091809589</v>
      </c>
      <c r="C19" s="8" t="n">
        <f aca="false">Precio!C24</f>
        <v>1540.7713609589</v>
      </c>
      <c r="D19" s="9"/>
    </row>
    <row r="20" customFormat="false" ht="15" hidden="false" customHeight="false" outlineLevel="0" collapsed="false">
      <c r="A20" s="7" t="s">
        <v>23</v>
      </c>
      <c r="B20" s="8" t="n">
        <f aca="false">Precio!B31</f>
        <v>4200</v>
      </c>
      <c r="C20" s="8" t="n">
        <f aca="false">Precio!C31</f>
        <v>4200</v>
      </c>
      <c r="D20" s="9"/>
    </row>
    <row r="21" customFormat="false" ht="15" hidden="false" customHeight="false" outlineLevel="0" collapsed="false">
      <c r="A21" s="7" t="s">
        <v>24</v>
      </c>
      <c r="B21" s="8" t="n">
        <f aca="false">Precio!B35</f>
        <v>10222</v>
      </c>
      <c r="C21" s="8" t="n">
        <f aca="false">Precio!C35</f>
        <v>10222</v>
      </c>
      <c r="D21" s="9"/>
    </row>
    <row r="22" customFormat="false" ht="15" hidden="false" customHeight="false" outlineLevel="0" collapsed="false">
      <c r="A22" s="5" t="s">
        <v>25</v>
      </c>
      <c r="B22" s="6"/>
      <c r="C22" s="6"/>
      <c r="D22" s="6"/>
    </row>
    <row r="23" customFormat="false" ht="15" hidden="false" customHeight="false" outlineLevel="0" collapsed="false">
      <c r="A23" s="7" t="s">
        <v>26</v>
      </c>
      <c r="B23" s="8" t="n">
        <f aca="false">Supuestos!$B$67</f>
        <v>45</v>
      </c>
      <c r="C23" s="8" t="n">
        <f aca="false">Supuestos!$B$67</f>
        <v>45</v>
      </c>
      <c r="D23" s="9"/>
    </row>
    <row r="24" customFormat="false" ht="15" hidden="false" customHeight="false" outlineLevel="0" collapsed="false">
      <c r="A24" s="7" t="s">
        <v>27</v>
      </c>
      <c r="B24" s="8" t="n">
        <f aca="false">Supuestos!$B$68</f>
        <v>75</v>
      </c>
      <c r="C24" s="8" t="n">
        <f aca="false">Supuestos!$B$68</f>
        <v>75</v>
      </c>
      <c r="D24" s="9"/>
    </row>
    <row r="25" customFormat="false" ht="15" hidden="false" customHeight="false" outlineLevel="0" collapsed="false">
      <c r="A25" s="7" t="s">
        <v>28</v>
      </c>
      <c r="B25" s="8" t="n">
        <f aca="false">Supuestos!$B$69</f>
        <v>110</v>
      </c>
      <c r="C25" s="8" t="n">
        <f aca="false">Supuestos!$B$69</f>
        <v>110</v>
      </c>
      <c r="D25" s="9"/>
    </row>
    <row r="26" customFormat="false" ht="15" hidden="false" customHeight="false" outlineLevel="0" collapsed="false">
      <c r="A26" s="7" t="s">
        <v>29</v>
      </c>
      <c r="B26" s="8" t="n">
        <f aca="false">'Opex &amp; servicio'!B9</f>
        <v>21</v>
      </c>
      <c r="C26" s="8" t="n">
        <f aca="false">'Opex &amp; servicio'!B9</f>
        <v>21</v>
      </c>
      <c r="D26" s="9"/>
    </row>
    <row r="27" customFormat="false" ht="15" hidden="false" customHeight="false" outlineLevel="0" collapsed="false">
      <c r="A27" s="5" t="s">
        <v>30</v>
      </c>
      <c r="B27" s="6"/>
      <c r="C27" s="6"/>
      <c r="D27" s="6"/>
    </row>
    <row r="28" customFormat="false" ht="15" hidden="false" customHeight="false" outlineLevel="0" collapsed="false">
      <c r="A28" s="7" t="s">
        <v>31</v>
      </c>
      <c r="B28" s="8" t="n">
        <f aca="false">Precio!B41</f>
        <v>115.497171295038</v>
      </c>
      <c r="C28" s="8" t="n">
        <f aca="false">Precio!C41</f>
        <v>115.497171295038</v>
      </c>
      <c r="D28" s="9"/>
    </row>
    <row r="29" customFormat="false" ht="15" hidden="false" customHeight="false" outlineLevel="0" collapsed="false">
      <c r="A29" s="7" t="s">
        <v>32</v>
      </c>
      <c r="B29" s="8" t="n">
        <f aca="false">Precio!B42</f>
        <v>145.497171295038</v>
      </c>
      <c r="C29" s="8" t="n">
        <f aca="false">Precio!C42</f>
        <v>145.497171295038</v>
      </c>
      <c r="D29" s="9"/>
    </row>
    <row r="30" customFormat="false" ht="15" hidden="false" customHeight="false" outlineLevel="0" collapsed="false">
      <c r="A30" s="7" t="s">
        <v>33</v>
      </c>
      <c r="B30" s="8" t="n">
        <f aca="false">Precio!B43</f>
        <v>180.497171295038</v>
      </c>
      <c r="C30" s="8" t="n">
        <f aca="false">Precio!C43</f>
        <v>180.497171295038</v>
      </c>
      <c r="D30" s="9"/>
    </row>
    <row r="31" customFormat="false" ht="15" hidden="false" customHeight="false" outlineLevel="0" collapsed="false">
      <c r="A31" s="5" t="s">
        <v>34</v>
      </c>
      <c r="B31" s="6"/>
      <c r="C31" s="6"/>
      <c r="D31" s="6"/>
    </row>
    <row r="32" customFormat="false" ht="15" hidden="false" customHeight="false" outlineLevel="0" collapsed="false">
      <c r="A32" s="7" t="s">
        <v>35</v>
      </c>
      <c r="B32" s="8" t="n">
        <f aca="false">'Pedido ejemplo RD'!D12</f>
        <v>78947</v>
      </c>
      <c r="C32" s="8" t="n">
        <f aca="false">'Pedido ejemplo RD'!D12</f>
        <v>78947</v>
      </c>
      <c r="D32" s="9"/>
    </row>
    <row r="33" customFormat="false" ht="15" hidden="false" customHeight="false" outlineLevel="0" collapsed="false">
      <c r="A33" s="7" t="s">
        <v>36</v>
      </c>
      <c r="B33" s="14" t="n">
        <f aca="false">'Pedido ejemplo RD'!F12</f>
        <v>0.584036452535137</v>
      </c>
      <c r="C33" s="14" t="n">
        <f aca="false">'Pedido ejemplo RD'!F12</f>
        <v>0.584036452535137</v>
      </c>
      <c r="D33" s="9"/>
    </row>
    <row r="35" customFormat="false" ht="15" hidden="false" customHeight="false" outlineLevel="0" collapsed="false">
      <c r="A35" s="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90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4" customFormat="false" ht="15" hidden="false" customHeight="false" outlineLevel="0" collapsed="false">
      <c r="A4" s="4" t="s">
        <v>40</v>
      </c>
      <c r="B4" s="4" t="s">
        <v>41</v>
      </c>
      <c r="C4" s="4" t="s">
        <v>42</v>
      </c>
      <c r="D4" s="4" t="s">
        <v>43</v>
      </c>
      <c r="F4" s="12" t="s">
        <v>44</v>
      </c>
    </row>
    <row r="5" customFormat="false" ht="15" hidden="false" customHeight="false" outlineLevel="0" collapsed="false">
      <c r="A5" s="5" t="s">
        <v>45</v>
      </c>
      <c r="B5" s="6"/>
      <c r="C5" s="6"/>
      <c r="D5" s="6"/>
      <c r="F5" s="15" t="s">
        <v>46</v>
      </c>
    </row>
    <row r="6" customFormat="false" ht="15" hidden="false" customHeight="false" outlineLevel="0" collapsed="false">
      <c r="A6" s="7" t="s">
        <v>47</v>
      </c>
      <c r="B6" s="16" t="n">
        <v>18.25</v>
      </c>
      <c r="C6" s="7" t="s">
        <v>48</v>
      </c>
      <c r="D6" s="9" t="s">
        <v>49</v>
      </c>
      <c r="F6" s="17" t="s">
        <v>50</v>
      </c>
    </row>
    <row r="7" customFormat="false" ht="15" hidden="false" customHeight="false" outlineLevel="0" collapsed="false">
      <c r="A7" s="7" t="s">
        <v>51</v>
      </c>
      <c r="B7" s="18" t="n">
        <v>20</v>
      </c>
      <c r="C7" s="7" t="s">
        <v>52</v>
      </c>
      <c r="D7" s="9" t="s">
        <v>53</v>
      </c>
      <c r="F7" s="7" t="s">
        <v>54</v>
      </c>
    </row>
    <row r="8" customFormat="false" ht="15" hidden="false" customHeight="false" outlineLevel="0" collapsed="false">
      <c r="A8" s="7" t="s">
        <v>55</v>
      </c>
      <c r="B8" s="18" t="n">
        <v>100</v>
      </c>
      <c r="C8" s="7" t="s">
        <v>52</v>
      </c>
      <c r="D8" s="9" t="s">
        <v>56</v>
      </c>
      <c r="F8" s="3" t="s">
        <v>57</v>
      </c>
    </row>
    <row r="9" customFormat="false" ht="15" hidden="false" customHeight="false" outlineLevel="0" collapsed="false">
      <c r="A9" s="7" t="s">
        <v>58</v>
      </c>
      <c r="B9" s="19" t="n">
        <v>280</v>
      </c>
      <c r="C9" s="7" t="s">
        <v>59</v>
      </c>
      <c r="D9" s="9" t="s">
        <v>60</v>
      </c>
    </row>
    <row r="10" customFormat="false" ht="15" hidden="false" customHeight="false" outlineLevel="0" collapsed="false">
      <c r="A10" s="7" t="s">
        <v>61</v>
      </c>
      <c r="B10" s="20" t="n">
        <v>2.5</v>
      </c>
      <c r="C10" s="7" t="s">
        <v>62</v>
      </c>
      <c r="D10" s="9" t="s">
        <v>63</v>
      </c>
    </row>
    <row r="11" customFormat="false" ht="15" hidden="false" customHeight="false" outlineLevel="0" collapsed="false">
      <c r="A11" s="7" t="s">
        <v>64</v>
      </c>
      <c r="B11" s="20" t="n">
        <v>2</v>
      </c>
      <c r="C11" s="7" t="s">
        <v>62</v>
      </c>
      <c r="D11" s="9" t="s">
        <v>65</v>
      </c>
    </row>
    <row r="12" customFormat="false" ht="15" hidden="false" customHeight="false" outlineLevel="0" collapsed="false">
      <c r="A12" s="7" t="s">
        <v>66</v>
      </c>
      <c r="B12" s="20" t="n">
        <v>0.5</v>
      </c>
      <c r="C12" s="7" t="s">
        <v>62</v>
      </c>
      <c r="D12" s="9" t="s">
        <v>67</v>
      </c>
    </row>
    <row r="13" customFormat="false" ht="15" hidden="false" customHeight="false" outlineLevel="0" collapsed="false">
      <c r="A13" s="7" t="s">
        <v>68</v>
      </c>
      <c r="B13" s="21" t="n">
        <v>0.06</v>
      </c>
      <c r="C13" s="7" t="s">
        <v>69</v>
      </c>
      <c r="D13" s="9" t="s">
        <v>70</v>
      </c>
    </row>
    <row r="14" customFormat="false" ht="15" hidden="false" customHeight="false" outlineLevel="0" collapsed="false">
      <c r="A14" s="7" t="s">
        <v>71</v>
      </c>
      <c r="B14" s="22" t="n">
        <v>0.005</v>
      </c>
      <c r="C14" s="7" t="s">
        <v>69</v>
      </c>
      <c r="D14" s="9" t="s">
        <v>72</v>
      </c>
    </row>
    <row r="15" customFormat="false" ht="15" hidden="false" customHeight="false" outlineLevel="0" collapsed="false">
      <c r="A15" s="5" t="s">
        <v>73</v>
      </c>
      <c r="B15" s="6"/>
      <c r="C15" s="6"/>
      <c r="D15" s="6"/>
    </row>
    <row r="16" customFormat="false" ht="15" hidden="false" customHeight="false" outlineLevel="0" collapsed="false">
      <c r="A16" s="7" t="s">
        <v>74</v>
      </c>
      <c r="B16" s="23" t="n">
        <v>131.98</v>
      </c>
      <c r="C16" s="7" t="s">
        <v>75</v>
      </c>
      <c r="D16" s="9" t="s">
        <v>76</v>
      </c>
    </row>
    <row r="17" customFormat="false" ht="15" hidden="false" customHeight="false" outlineLevel="0" collapsed="false">
      <c r="A17" s="7" t="s">
        <v>77</v>
      </c>
      <c r="B17" s="23" t="n">
        <v>124.4</v>
      </c>
      <c r="C17" s="7" t="s">
        <v>75</v>
      </c>
      <c r="D17" s="9" t="s">
        <v>78</v>
      </c>
    </row>
    <row r="18" customFormat="false" ht="15" hidden="false" customHeight="false" outlineLevel="0" collapsed="false">
      <c r="A18" s="7" t="s">
        <v>79</v>
      </c>
      <c r="B18" s="23" t="n">
        <v>12</v>
      </c>
      <c r="C18" s="7" t="s">
        <v>80</v>
      </c>
      <c r="D18" s="9" t="s">
        <v>81</v>
      </c>
    </row>
    <row r="19" customFormat="false" ht="15" hidden="false" customHeight="false" outlineLevel="0" collapsed="false">
      <c r="A19" s="7" t="s">
        <v>82</v>
      </c>
      <c r="B19" s="23" t="n">
        <v>7.5</v>
      </c>
      <c r="C19" s="7" t="s">
        <v>80</v>
      </c>
      <c r="D19" s="9" t="s">
        <v>83</v>
      </c>
    </row>
    <row r="20" customFormat="false" ht="15" hidden="false" customHeight="false" outlineLevel="0" collapsed="false">
      <c r="A20" s="7" t="s">
        <v>84</v>
      </c>
      <c r="B20" s="23" t="n">
        <v>18</v>
      </c>
      <c r="C20" s="7" t="s">
        <v>80</v>
      </c>
      <c r="D20" s="9" t="s">
        <v>85</v>
      </c>
    </row>
    <row r="21" customFormat="false" ht="15" hidden="false" customHeight="false" outlineLevel="0" collapsed="false">
      <c r="A21" s="7" t="s">
        <v>86</v>
      </c>
      <c r="B21" s="23" t="n">
        <v>9</v>
      </c>
      <c r="C21" s="7" t="s">
        <v>80</v>
      </c>
      <c r="D21" s="9" t="s">
        <v>83</v>
      </c>
    </row>
    <row r="22" customFormat="false" ht="15" hidden="false" customHeight="false" outlineLevel="0" collapsed="false">
      <c r="A22" s="7" t="s">
        <v>87</v>
      </c>
      <c r="B22" s="24" t="n">
        <v>237</v>
      </c>
      <c r="C22" s="7" t="s">
        <v>88</v>
      </c>
      <c r="D22" s="9" t="s">
        <v>89</v>
      </c>
    </row>
    <row r="23" customFormat="false" ht="15" hidden="false" customHeight="false" outlineLevel="0" collapsed="false">
      <c r="A23" s="7" t="s">
        <v>90</v>
      </c>
      <c r="B23" s="23" t="n">
        <v>3</v>
      </c>
      <c r="C23" s="7" t="s">
        <v>80</v>
      </c>
      <c r="D23" s="9" t="s">
        <v>91</v>
      </c>
    </row>
    <row r="24" customFormat="false" ht="15" hidden="false" customHeight="false" outlineLevel="0" collapsed="false">
      <c r="A24" s="7" t="s">
        <v>92</v>
      </c>
      <c r="B24" s="22" t="n">
        <v>0.05</v>
      </c>
      <c r="C24" s="7" t="s">
        <v>93</v>
      </c>
      <c r="D24" s="9" t="s">
        <v>94</v>
      </c>
    </row>
    <row r="25" customFormat="false" ht="15" hidden="false" customHeight="false" outlineLevel="0" collapsed="false">
      <c r="A25" s="5" t="s">
        <v>95</v>
      </c>
      <c r="B25" s="6"/>
      <c r="C25" s="6"/>
      <c r="D25" s="6"/>
    </row>
    <row r="26" customFormat="false" ht="15" hidden="false" customHeight="false" outlineLevel="0" collapsed="false">
      <c r="A26" s="7" t="s">
        <v>96</v>
      </c>
      <c r="B26" s="25" t="n">
        <v>550</v>
      </c>
      <c r="C26" s="7" t="s">
        <v>97</v>
      </c>
      <c r="D26" s="9" t="s">
        <v>98</v>
      </c>
    </row>
    <row r="27" customFormat="false" ht="15" hidden="false" customHeight="false" outlineLevel="0" collapsed="false">
      <c r="A27" s="7" t="s">
        <v>99</v>
      </c>
      <c r="B27" s="26" t="n">
        <v>420</v>
      </c>
      <c r="C27" s="7" t="s">
        <v>97</v>
      </c>
      <c r="D27" s="9" t="s">
        <v>100</v>
      </c>
    </row>
    <row r="28" customFormat="false" ht="15" hidden="false" customHeight="false" outlineLevel="0" collapsed="false">
      <c r="A28" s="7" t="s">
        <v>101</v>
      </c>
      <c r="B28" s="25" t="n">
        <v>700</v>
      </c>
      <c r="C28" s="7" t="s">
        <v>97</v>
      </c>
      <c r="D28" s="9" t="s">
        <v>102</v>
      </c>
    </row>
    <row r="29" customFormat="false" ht="15" hidden="false" customHeight="false" outlineLevel="0" collapsed="false">
      <c r="A29" s="7" t="s">
        <v>103</v>
      </c>
      <c r="B29" s="25" t="n">
        <v>60</v>
      </c>
      <c r="C29" s="7" t="s">
        <v>97</v>
      </c>
      <c r="D29" s="9" t="s">
        <v>104</v>
      </c>
    </row>
    <row r="30" customFormat="false" ht="15" hidden="false" customHeight="false" outlineLevel="0" collapsed="false">
      <c r="A30" s="7" t="s">
        <v>105</v>
      </c>
      <c r="B30" s="25" t="n">
        <v>120</v>
      </c>
      <c r="C30" s="7" t="s">
        <v>97</v>
      </c>
      <c r="D30" s="9" t="s">
        <v>106</v>
      </c>
    </row>
    <row r="31" customFormat="false" ht="15" hidden="false" customHeight="false" outlineLevel="0" collapsed="false">
      <c r="A31" s="7" t="s">
        <v>107</v>
      </c>
      <c r="B31" s="25" t="n">
        <v>80</v>
      </c>
      <c r="C31" s="7" t="s">
        <v>97</v>
      </c>
      <c r="D31" s="9" t="s">
        <v>108</v>
      </c>
    </row>
    <row r="32" customFormat="false" ht="15" hidden="false" customHeight="false" outlineLevel="0" collapsed="false">
      <c r="A32" s="7" t="s">
        <v>109</v>
      </c>
      <c r="B32" s="25" t="n">
        <v>102</v>
      </c>
      <c r="C32" s="7" t="s">
        <v>97</v>
      </c>
      <c r="D32" s="9" t="s">
        <v>110</v>
      </c>
    </row>
    <row r="33" customFormat="false" ht="15" hidden="false" customHeight="false" outlineLevel="0" collapsed="false">
      <c r="A33" s="7" t="s">
        <v>111</v>
      </c>
      <c r="B33" s="25" t="n">
        <v>80</v>
      </c>
      <c r="C33" s="7" t="s">
        <v>97</v>
      </c>
      <c r="D33" s="9" t="s">
        <v>112</v>
      </c>
    </row>
    <row r="34" customFormat="false" ht="15" hidden="false" customHeight="false" outlineLevel="0" collapsed="false">
      <c r="A34" s="7" t="s">
        <v>113</v>
      </c>
      <c r="B34" s="25" t="n">
        <v>110</v>
      </c>
      <c r="C34" s="7" t="s">
        <v>97</v>
      </c>
      <c r="D34" s="9" t="s">
        <v>114</v>
      </c>
    </row>
    <row r="35" customFormat="false" ht="15" hidden="false" customHeight="false" outlineLevel="0" collapsed="false">
      <c r="A35" s="7" t="s">
        <v>115</v>
      </c>
      <c r="B35" s="25" t="n">
        <v>100</v>
      </c>
      <c r="C35" s="7" t="s">
        <v>97</v>
      </c>
      <c r="D35" s="9" t="s">
        <v>116</v>
      </c>
    </row>
    <row r="36" customFormat="false" ht="15" hidden="false" customHeight="false" outlineLevel="0" collapsed="false">
      <c r="A36" s="7" t="s">
        <v>117</v>
      </c>
      <c r="B36" s="25" t="n">
        <v>10</v>
      </c>
      <c r="C36" s="7" t="s">
        <v>97</v>
      </c>
      <c r="D36" s="9"/>
    </row>
    <row r="37" customFormat="false" ht="15" hidden="false" customHeight="false" outlineLevel="0" collapsed="false">
      <c r="A37" s="5" t="s">
        <v>118</v>
      </c>
      <c r="B37" s="6"/>
      <c r="C37" s="6"/>
      <c r="D37" s="6"/>
    </row>
    <row r="38" customFormat="false" ht="15" hidden="false" customHeight="false" outlineLevel="0" collapsed="false">
      <c r="A38" s="7" t="s">
        <v>119</v>
      </c>
      <c r="B38" s="26" t="n">
        <v>1435</v>
      </c>
      <c r="C38" s="7" t="s">
        <v>97</v>
      </c>
      <c r="D38" s="9" t="s">
        <v>120</v>
      </c>
    </row>
    <row r="39" customFormat="false" ht="15" hidden="false" customHeight="false" outlineLevel="0" collapsed="false">
      <c r="A39" s="7" t="s">
        <v>121</v>
      </c>
      <c r="B39" s="25" t="n">
        <v>318</v>
      </c>
      <c r="C39" s="7" t="s">
        <v>97</v>
      </c>
      <c r="D39" s="9" t="s">
        <v>122</v>
      </c>
    </row>
    <row r="40" customFormat="false" ht="15" hidden="false" customHeight="false" outlineLevel="0" collapsed="false">
      <c r="A40" s="7" t="s">
        <v>123</v>
      </c>
      <c r="B40" s="25" t="n">
        <v>906</v>
      </c>
      <c r="C40" s="7" t="s">
        <v>97</v>
      </c>
      <c r="D40" s="9" t="s">
        <v>124</v>
      </c>
    </row>
    <row r="41" customFormat="false" ht="15" hidden="false" customHeight="false" outlineLevel="0" collapsed="false">
      <c r="A41" s="7" t="s">
        <v>125</v>
      </c>
      <c r="B41" s="25" t="n">
        <v>684</v>
      </c>
      <c r="C41" s="7" t="s">
        <v>97</v>
      </c>
      <c r="D41" s="9"/>
    </row>
    <row r="42" customFormat="false" ht="15" hidden="false" customHeight="false" outlineLevel="0" collapsed="false">
      <c r="A42" s="7" t="s">
        <v>126</v>
      </c>
      <c r="B42" s="25" t="n">
        <v>1076</v>
      </c>
      <c r="C42" s="7" t="s">
        <v>97</v>
      </c>
      <c r="D42" s="9"/>
    </row>
    <row r="43" customFormat="false" ht="15" hidden="false" customHeight="false" outlineLevel="0" collapsed="false">
      <c r="A43" s="7" t="s">
        <v>127</v>
      </c>
      <c r="B43" s="25" t="n">
        <v>484</v>
      </c>
      <c r="C43" s="7" t="s">
        <v>97</v>
      </c>
      <c r="D43" s="9"/>
    </row>
    <row r="44" customFormat="false" ht="15" hidden="false" customHeight="false" outlineLevel="0" collapsed="false">
      <c r="A44" s="7" t="s">
        <v>128</v>
      </c>
      <c r="B44" s="25" t="n">
        <v>748</v>
      </c>
      <c r="C44" s="7" t="s">
        <v>97</v>
      </c>
      <c r="D44" s="9"/>
    </row>
    <row r="45" customFormat="false" ht="15" hidden="false" customHeight="false" outlineLevel="0" collapsed="false">
      <c r="A45" s="7" t="s">
        <v>129</v>
      </c>
      <c r="B45" s="25" t="n">
        <v>110</v>
      </c>
      <c r="C45" s="7" t="s">
        <v>97</v>
      </c>
      <c r="D45" s="9"/>
    </row>
    <row r="46" customFormat="false" ht="15" hidden="false" customHeight="false" outlineLevel="0" collapsed="false">
      <c r="A46" s="5" t="s">
        <v>130</v>
      </c>
      <c r="B46" s="6"/>
      <c r="C46" s="6"/>
      <c r="D46" s="6"/>
    </row>
    <row r="47" customFormat="false" ht="15" hidden="false" customHeight="false" outlineLevel="0" collapsed="false">
      <c r="A47" s="7" t="s">
        <v>131</v>
      </c>
      <c r="B47" s="25" t="n">
        <v>150</v>
      </c>
      <c r="C47" s="7" t="s">
        <v>132</v>
      </c>
      <c r="D47" s="9"/>
    </row>
    <row r="48" customFormat="false" ht="15" hidden="false" customHeight="false" outlineLevel="0" collapsed="false">
      <c r="A48" s="7" t="s">
        <v>133</v>
      </c>
      <c r="B48" s="25" t="n">
        <v>75</v>
      </c>
      <c r="C48" s="7" t="s">
        <v>132</v>
      </c>
      <c r="D48" s="9"/>
    </row>
    <row r="49" customFormat="false" ht="15" hidden="false" customHeight="false" outlineLevel="0" collapsed="false">
      <c r="A49" s="7" t="s">
        <v>134</v>
      </c>
      <c r="B49" s="27" t="n">
        <v>60</v>
      </c>
      <c r="C49" s="7" t="s">
        <v>80</v>
      </c>
      <c r="D49" s="9" t="s">
        <v>135</v>
      </c>
    </row>
    <row r="50" customFormat="false" ht="15" hidden="false" customHeight="false" outlineLevel="0" collapsed="false">
      <c r="A50" s="7" t="s">
        <v>136</v>
      </c>
      <c r="B50" s="24" t="n">
        <v>40</v>
      </c>
      <c r="C50" s="7" t="s">
        <v>80</v>
      </c>
      <c r="D50" s="9" t="s">
        <v>137</v>
      </c>
    </row>
    <row r="51" customFormat="false" ht="15" hidden="false" customHeight="false" outlineLevel="0" collapsed="false">
      <c r="A51" s="7" t="s">
        <v>138</v>
      </c>
      <c r="B51" s="24" t="n">
        <v>25</v>
      </c>
      <c r="C51" s="7" t="s">
        <v>80</v>
      </c>
      <c r="D51" s="9" t="s">
        <v>139</v>
      </c>
    </row>
    <row r="52" customFormat="false" ht="15" hidden="false" customHeight="false" outlineLevel="0" collapsed="false">
      <c r="A52" s="5" t="s">
        <v>140</v>
      </c>
      <c r="B52" s="6"/>
      <c r="C52" s="6"/>
      <c r="D52" s="6"/>
    </row>
    <row r="53" customFormat="false" ht="15" hidden="false" customHeight="false" outlineLevel="0" collapsed="false">
      <c r="A53" s="7" t="s">
        <v>141</v>
      </c>
      <c r="B53" s="21" t="n">
        <v>0.08</v>
      </c>
      <c r="C53" s="7" t="s">
        <v>93</v>
      </c>
      <c r="D53" s="9" t="s">
        <v>142</v>
      </c>
    </row>
    <row r="54" customFormat="false" ht="15" hidden="false" customHeight="false" outlineLevel="0" collapsed="false">
      <c r="A54" s="7" t="s">
        <v>143</v>
      </c>
      <c r="B54" s="22" t="n">
        <v>0.18</v>
      </c>
      <c r="C54" s="7" t="s">
        <v>93</v>
      </c>
      <c r="D54" s="9" t="s">
        <v>144</v>
      </c>
    </row>
    <row r="55" customFormat="false" ht="15" hidden="false" customHeight="false" outlineLevel="0" collapsed="false">
      <c r="A55" s="7" t="s">
        <v>145</v>
      </c>
      <c r="B55" s="24" t="n">
        <v>20</v>
      </c>
      <c r="C55" s="7" t="s">
        <v>80</v>
      </c>
      <c r="D55" s="9" t="s">
        <v>146</v>
      </c>
    </row>
    <row r="56" customFormat="false" ht="15" hidden="false" customHeight="false" outlineLevel="0" collapsed="false">
      <c r="A56" s="5" t="s">
        <v>147</v>
      </c>
      <c r="B56" s="6"/>
      <c r="C56" s="6"/>
      <c r="D56" s="6"/>
    </row>
    <row r="57" customFormat="false" ht="15" hidden="false" customHeight="false" outlineLevel="0" collapsed="false">
      <c r="A57" s="7" t="s">
        <v>148</v>
      </c>
      <c r="B57" s="21" t="n">
        <v>0.58</v>
      </c>
      <c r="C57" s="7" t="s">
        <v>93</v>
      </c>
      <c r="D57" s="9" t="s">
        <v>149</v>
      </c>
    </row>
    <row r="58" customFormat="false" ht="15" hidden="false" customHeight="false" outlineLevel="0" collapsed="false">
      <c r="A58" s="7" t="s">
        <v>150</v>
      </c>
      <c r="B58" s="27" t="n">
        <v>1150</v>
      </c>
      <c r="C58" s="7" t="s">
        <v>75</v>
      </c>
      <c r="D58" s="9" t="s">
        <v>151</v>
      </c>
    </row>
    <row r="59" customFormat="false" ht="15" hidden="false" customHeight="false" outlineLevel="0" collapsed="false">
      <c r="A59" s="7" t="s">
        <v>152</v>
      </c>
      <c r="B59" s="27" t="n">
        <v>800</v>
      </c>
      <c r="C59" s="7" t="s">
        <v>75</v>
      </c>
      <c r="D59" s="9" t="s">
        <v>153</v>
      </c>
    </row>
    <row r="60" customFormat="false" ht="15" hidden="false" customHeight="false" outlineLevel="0" collapsed="false">
      <c r="A60" s="7" t="s">
        <v>154</v>
      </c>
      <c r="B60" s="27" t="n">
        <v>4200</v>
      </c>
      <c r="C60" s="7" t="s">
        <v>75</v>
      </c>
      <c r="D60" s="9" t="s">
        <v>155</v>
      </c>
    </row>
    <row r="61" customFormat="false" ht="15" hidden="false" customHeight="false" outlineLevel="0" collapsed="false">
      <c r="A61" s="7" t="s">
        <v>156</v>
      </c>
      <c r="B61" s="25" t="n">
        <v>25209</v>
      </c>
      <c r="C61" s="7" t="s">
        <v>97</v>
      </c>
      <c r="D61" s="9" t="s">
        <v>157</v>
      </c>
    </row>
    <row r="62" customFormat="false" ht="15" hidden="false" customHeight="false" outlineLevel="0" collapsed="false">
      <c r="A62" s="7" t="s">
        <v>158</v>
      </c>
      <c r="B62" s="22" t="n">
        <v>0.18</v>
      </c>
      <c r="C62" s="7" t="s">
        <v>93</v>
      </c>
      <c r="D62" s="9" t="s">
        <v>159</v>
      </c>
    </row>
    <row r="63" customFormat="false" ht="15" hidden="false" customHeight="false" outlineLevel="0" collapsed="false">
      <c r="A63" s="7" t="s">
        <v>160</v>
      </c>
      <c r="B63" s="19" t="n">
        <v>36</v>
      </c>
      <c r="C63" s="7" t="s">
        <v>161</v>
      </c>
      <c r="D63" s="9"/>
    </row>
    <row r="64" customFormat="false" ht="15" hidden="false" customHeight="false" outlineLevel="0" collapsed="false">
      <c r="A64" s="7" t="s">
        <v>162</v>
      </c>
      <c r="B64" s="24" t="n">
        <v>12</v>
      </c>
      <c r="C64" s="7" t="s">
        <v>163</v>
      </c>
      <c r="D64" s="9" t="s">
        <v>164</v>
      </c>
    </row>
    <row r="65" customFormat="false" ht="15" hidden="false" customHeight="false" outlineLevel="0" collapsed="false">
      <c r="A65" s="7" t="s">
        <v>165</v>
      </c>
      <c r="B65" s="24" t="n">
        <v>3</v>
      </c>
      <c r="C65" s="7" t="s">
        <v>163</v>
      </c>
      <c r="D65" s="9"/>
    </row>
    <row r="66" customFormat="false" ht="15" hidden="false" customHeight="false" outlineLevel="0" collapsed="false">
      <c r="A66" s="7" t="s">
        <v>166</v>
      </c>
      <c r="B66" s="24" t="n">
        <v>6</v>
      </c>
      <c r="C66" s="7" t="s">
        <v>163</v>
      </c>
      <c r="D66" s="9" t="s">
        <v>167</v>
      </c>
    </row>
    <row r="67" customFormat="false" ht="15" hidden="false" customHeight="false" outlineLevel="0" collapsed="false">
      <c r="A67" s="7" t="s">
        <v>168</v>
      </c>
      <c r="B67" s="27" t="n">
        <v>45</v>
      </c>
      <c r="C67" s="7" t="s">
        <v>169</v>
      </c>
      <c r="D67" s="9" t="s">
        <v>170</v>
      </c>
    </row>
    <row r="68" customFormat="false" ht="15" hidden="false" customHeight="false" outlineLevel="0" collapsed="false">
      <c r="A68" s="7" t="s">
        <v>171</v>
      </c>
      <c r="B68" s="27" t="n">
        <v>75</v>
      </c>
      <c r="C68" s="7" t="s">
        <v>169</v>
      </c>
      <c r="D68" s="9" t="s">
        <v>172</v>
      </c>
    </row>
    <row r="69" customFormat="false" ht="15" hidden="false" customHeight="false" outlineLevel="0" collapsed="false">
      <c r="A69" s="7" t="s">
        <v>173</v>
      </c>
      <c r="B69" s="27" t="n">
        <v>110</v>
      </c>
      <c r="C69" s="7" t="s">
        <v>169</v>
      </c>
      <c r="D69" s="9" t="s">
        <v>174</v>
      </c>
    </row>
    <row r="70" customFormat="false" ht="15" hidden="false" customHeight="false" outlineLevel="0" collapsed="false">
      <c r="A70" s="7" t="s">
        <v>175</v>
      </c>
      <c r="B70" s="22" t="n">
        <v>0.1</v>
      </c>
      <c r="C70" s="7" t="s">
        <v>176</v>
      </c>
      <c r="D70" s="9" t="s">
        <v>177</v>
      </c>
    </row>
    <row r="71" customFormat="false" ht="15" hidden="false" customHeight="false" outlineLevel="0" collapsed="false">
      <c r="A71" s="5" t="s">
        <v>178</v>
      </c>
      <c r="B71" s="6"/>
      <c r="C71" s="6"/>
      <c r="D71" s="6"/>
    </row>
    <row r="72" customFormat="false" ht="15" hidden="false" customHeight="false" outlineLevel="0" collapsed="false">
      <c r="A72" s="7" t="s">
        <v>179</v>
      </c>
      <c r="B72" s="19" t="n">
        <v>2</v>
      </c>
      <c r="C72" s="7" t="s">
        <v>180</v>
      </c>
      <c r="D72" s="9"/>
    </row>
    <row r="73" customFormat="false" ht="15" hidden="false" customHeight="false" outlineLevel="0" collapsed="false">
      <c r="A73" s="7" t="s">
        <v>181</v>
      </c>
      <c r="B73" s="19" t="n">
        <v>6</v>
      </c>
      <c r="C73" s="7" t="s">
        <v>182</v>
      </c>
      <c r="D73" s="9" t="s">
        <v>183</v>
      </c>
    </row>
    <row r="74" customFormat="false" ht="15" hidden="false" customHeight="false" outlineLevel="0" collapsed="false">
      <c r="A74" s="7" t="s">
        <v>184</v>
      </c>
      <c r="B74" s="24" t="n">
        <v>600</v>
      </c>
      <c r="C74" s="7" t="s">
        <v>185</v>
      </c>
      <c r="D74" s="9" t="s">
        <v>186</v>
      </c>
    </row>
    <row r="75" customFormat="false" ht="15" hidden="false" customHeight="false" outlineLevel="0" collapsed="false">
      <c r="A75" s="7" t="s">
        <v>187</v>
      </c>
      <c r="B75" s="24" t="n">
        <v>130</v>
      </c>
      <c r="C75" s="7" t="s">
        <v>188</v>
      </c>
      <c r="D75" s="9"/>
    </row>
    <row r="76" customFormat="false" ht="15" hidden="false" customHeight="false" outlineLevel="0" collapsed="false">
      <c r="A76" s="7" t="s">
        <v>189</v>
      </c>
      <c r="B76" s="24" t="n">
        <v>60</v>
      </c>
      <c r="C76" s="7" t="s">
        <v>190</v>
      </c>
      <c r="D76" s="9"/>
    </row>
    <row r="77" customFormat="false" ht="15" hidden="false" customHeight="false" outlineLevel="0" collapsed="false">
      <c r="A77" s="7" t="s">
        <v>191</v>
      </c>
      <c r="B77" s="24" t="n">
        <v>400</v>
      </c>
      <c r="C77" s="7" t="s">
        <v>192</v>
      </c>
      <c r="D77" s="9"/>
    </row>
    <row r="78" customFormat="false" ht="15" hidden="false" customHeight="false" outlineLevel="0" collapsed="false">
      <c r="A78" s="7" t="s">
        <v>193</v>
      </c>
      <c r="B78" s="19" t="n">
        <v>8</v>
      </c>
      <c r="C78" s="7" t="s">
        <v>194</v>
      </c>
      <c r="D78" s="9"/>
    </row>
    <row r="79" customFormat="false" ht="15" hidden="false" customHeight="false" outlineLevel="0" collapsed="false">
      <c r="A79" s="7" t="s">
        <v>195</v>
      </c>
      <c r="B79" s="24" t="n">
        <v>60</v>
      </c>
      <c r="C79" s="7" t="s">
        <v>196</v>
      </c>
      <c r="D79" s="9" t="s">
        <v>197</v>
      </c>
    </row>
    <row r="80" customFormat="false" ht="15" hidden="false" customHeight="false" outlineLevel="0" collapsed="false">
      <c r="A80" s="7" t="s">
        <v>198</v>
      </c>
      <c r="B80" s="19" t="n">
        <v>20</v>
      </c>
      <c r="C80" s="7" t="s">
        <v>52</v>
      </c>
      <c r="D80" s="9"/>
    </row>
    <row r="81" customFormat="false" ht="15" hidden="false" customHeight="false" outlineLevel="0" collapsed="false">
      <c r="A81" s="5" t="s">
        <v>199</v>
      </c>
      <c r="B81" s="6"/>
      <c r="C81" s="6"/>
      <c r="D81" s="6"/>
    </row>
    <row r="82" customFormat="false" ht="15" hidden="false" customHeight="false" outlineLevel="0" collapsed="false">
      <c r="A82" s="7" t="s">
        <v>200</v>
      </c>
      <c r="B82" s="24" t="n">
        <v>225</v>
      </c>
      <c r="C82" s="7" t="s">
        <v>75</v>
      </c>
      <c r="D82" s="9" t="s">
        <v>201</v>
      </c>
    </row>
    <row r="83" customFormat="false" ht="15" hidden="false" customHeight="false" outlineLevel="0" collapsed="false">
      <c r="A83" s="7" t="s">
        <v>202</v>
      </c>
      <c r="B83" s="27" t="n">
        <v>5000</v>
      </c>
      <c r="C83" s="7" t="s">
        <v>75</v>
      </c>
      <c r="D83" s="9" t="s">
        <v>203</v>
      </c>
    </row>
    <row r="84" customFormat="false" ht="15" hidden="false" customHeight="false" outlineLevel="0" collapsed="false">
      <c r="A84" s="7" t="s">
        <v>204</v>
      </c>
      <c r="B84" s="19" t="n">
        <v>20</v>
      </c>
      <c r="C84" s="7" t="s">
        <v>52</v>
      </c>
      <c r="D84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4" min="3" style="0" width="16"/>
    <col collapsed="false" customWidth="true" hidden="false" outlineLevel="0" max="5" min="5" style="0" width="70"/>
  </cols>
  <sheetData>
    <row r="1" customFormat="false" ht="17.35" hidden="false" customHeight="false" outlineLevel="0" collapsed="false">
      <c r="A1" s="1" t="s">
        <v>205</v>
      </c>
    </row>
    <row r="2" customFormat="false" ht="15" hidden="false" customHeight="false" outlineLevel="0" collapsed="false">
      <c r="A2" s="2" t="s">
        <v>206</v>
      </c>
    </row>
    <row r="3" customFormat="false" ht="15" hidden="false" customHeight="false" outlineLevel="0" collapsed="false">
      <c r="C3" s="3" t="str">
        <f aca="false">"Lote A = "&amp;Supuestos!$B$7&amp;" u"</f>
        <v>Lote A = 20 u</v>
      </c>
      <c r="D3" s="3" t="str">
        <f aca="false">"Lote B = "&amp;Supuestos!$B$8&amp;" u"</f>
        <v>Lote B = 100 u</v>
      </c>
    </row>
    <row r="4" customFormat="false" ht="15" hidden="false" customHeight="false" outlineLevel="0" collapsed="false">
      <c r="A4" s="4" t="s">
        <v>207</v>
      </c>
      <c r="B4" s="4" t="s">
        <v>208</v>
      </c>
      <c r="C4" s="4" t="s">
        <v>209</v>
      </c>
      <c r="D4" s="4" t="s">
        <v>210</v>
      </c>
      <c r="E4" s="4" t="s">
        <v>5</v>
      </c>
    </row>
    <row r="5" customFormat="false" ht="15" hidden="false" customHeight="false" outlineLevel="0" collapsed="false">
      <c r="A5" s="5" t="s">
        <v>211</v>
      </c>
      <c r="B5" s="6"/>
      <c r="C5" s="6"/>
      <c r="D5" s="6"/>
      <c r="E5" s="6"/>
    </row>
    <row r="6" customFormat="false" ht="15" hidden="false" customHeight="false" outlineLevel="0" collapsed="false">
      <c r="A6" s="7" t="s">
        <v>212</v>
      </c>
      <c r="B6" s="28"/>
      <c r="C6" s="29" t="n">
        <f aca="false">Supuestos!$B$16</f>
        <v>131.98</v>
      </c>
      <c r="D6" s="29" t="n">
        <f aca="false">Supuestos!$B$17</f>
        <v>124.4</v>
      </c>
      <c r="E6" s="9" t="s">
        <v>213</v>
      </c>
    </row>
    <row r="7" customFormat="false" ht="15" hidden="false" customHeight="false" outlineLevel="0" collapsed="false">
      <c r="A7" s="7" t="s">
        <v>214</v>
      </c>
      <c r="B7" s="28"/>
      <c r="C7" s="29" t="n">
        <f aca="false">Supuestos!$B$18</f>
        <v>12</v>
      </c>
      <c r="D7" s="29" t="n">
        <f aca="false">Supuestos!$B$19</f>
        <v>7.5</v>
      </c>
      <c r="E7" s="9"/>
    </row>
    <row r="8" customFormat="false" ht="15" hidden="false" customHeight="false" outlineLevel="0" collapsed="false">
      <c r="A8" s="7" t="s">
        <v>215</v>
      </c>
      <c r="B8" s="28"/>
      <c r="C8" s="29" t="n">
        <f aca="false">Supuestos!$B$20</f>
        <v>18</v>
      </c>
      <c r="D8" s="29" t="n">
        <f aca="false">Supuestos!$B$21</f>
        <v>9</v>
      </c>
      <c r="E8" s="9" t="s">
        <v>216</v>
      </c>
    </row>
    <row r="9" customFormat="false" ht="15" hidden="false" customHeight="false" outlineLevel="0" collapsed="false">
      <c r="A9" s="7" t="s">
        <v>217</v>
      </c>
      <c r="B9" s="28"/>
      <c r="C9" s="29" t="n">
        <f aca="false">Supuestos!$B$22/Supuestos!$B$7</f>
        <v>11.85</v>
      </c>
      <c r="D9" s="29" t="n">
        <f aca="false">Supuestos!$B$22/Supuestos!$B$8</f>
        <v>2.37</v>
      </c>
      <c r="E9" s="9"/>
    </row>
    <row r="10" customFormat="false" ht="15" hidden="false" customHeight="false" outlineLevel="0" collapsed="false">
      <c r="A10" s="7" t="s">
        <v>218</v>
      </c>
      <c r="B10" s="28"/>
      <c r="C10" s="29" t="n">
        <f aca="false">Supuestos!$B$23</f>
        <v>3</v>
      </c>
      <c r="D10" s="29" t="n">
        <f aca="false">Supuestos!$B$23</f>
        <v>3</v>
      </c>
      <c r="E10" s="9"/>
    </row>
    <row r="11" customFormat="false" ht="15" hidden="false" customHeight="false" outlineLevel="0" collapsed="false">
      <c r="A11" s="7" t="s">
        <v>219</v>
      </c>
      <c r="B11" s="28"/>
      <c r="C11" s="29" t="n">
        <f aca="false">Supuestos!$B$24*(C6+C7+C8)</f>
        <v>8.099</v>
      </c>
      <c r="D11" s="29" t="n">
        <f aca="false">Supuestos!$B$24*(D6+D7+D8)</f>
        <v>7.045</v>
      </c>
      <c r="E11" s="9"/>
    </row>
    <row r="12" customFormat="false" ht="15" hidden="false" customHeight="false" outlineLevel="0" collapsed="false">
      <c r="A12" s="10" t="s">
        <v>220</v>
      </c>
      <c r="B12" s="30"/>
      <c r="C12" s="31" t="n">
        <f aca="false">SUM(C6:C11)</f>
        <v>184.929</v>
      </c>
      <c r="D12" s="31" t="n">
        <f aca="false">SUM(D6:D11)</f>
        <v>153.315</v>
      </c>
      <c r="E12" s="9" t="s">
        <v>221</v>
      </c>
    </row>
    <row r="13" customFormat="false" ht="15" hidden="false" customHeight="false" outlineLevel="0" collapsed="false">
      <c r="A13" s="5" t="s">
        <v>222</v>
      </c>
      <c r="B13" s="6"/>
      <c r="C13" s="6"/>
      <c r="D13" s="6"/>
      <c r="E13" s="6"/>
    </row>
    <row r="14" customFormat="false" ht="15" hidden="false" customHeight="false" outlineLevel="0" collapsed="false">
      <c r="A14" s="7" t="s">
        <v>223</v>
      </c>
      <c r="B14" s="32" t="n">
        <f aca="false">Supuestos!$B$26</f>
        <v>550</v>
      </c>
      <c r="C14" s="29" t="n">
        <f aca="false">B14/Supuestos!$B$6</f>
        <v>30.1369863013699</v>
      </c>
      <c r="D14" s="29" t="n">
        <f aca="false">B14/Supuestos!$B$6</f>
        <v>30.1369863013699</v>
      </c>
      <c r="E14" s="9"/>
    </row>
    <row r="15" customFormat="false" ht="15" hidden="false" customHeight="false" outlineLevel="0" collapsed="false">
      <c r="A15" s="7" t="s">
        <v>224</v>
      </c>
      <c r="B15" s="32" t="n">
        <f aca="false">Supuestos!$B$27</f>
        <v>420</v>
      </c>
      <c r="C15" s="29" t="n">
        <f aca="false">B15/Supuestos!$B$6</f>
        <v>23.013698630137</v>
      </c>
      <c r="D15" s="29" t="n">
        <f aca="false">B15/Supuestos!$B$6</f>
        <v>23.013698630137</v>
      </c>
      <c r="E15" s="9"/>
    </row>
    <row r="16" customFormat="false" ht="15" hidden="false" customHeight="false" outlineLevel="0" collapsed="false">
      <c r="A16" s="7" t="s">
        <v>225</v>
      </c>
      <c r="B16" s="32" t="n">
        <f aca="false">Supuestos!$B$28</f>
        <v>700</v>
      </c>
      <c r="C16" s="29" t="n">
        <f aca="false">B16/Supuestos!$B$6</f>
        <v>38.3561643835616</v>
      </c>
      <c r="D16" s="29" t="n">
        <f aca="false">B16/Supuestos!$B$6</f>
        <v>38.3561643835616</v>
      </c>
      <c r="E16" s="9"/>
    </row>
    <row r="17" customFormat="false" ht="15" hidden="false" customHeight="false" outlineLevel="0" collapsed="false">
      <c r="A17" s="7" t="s">
        <v>226</v>
      </c>
      <c r="B17" s="32" t="n">
        <f aca="false">Supuestos!$B$29</f>
        <v>60</v>
      </c>
      <c r="C17" s="29" t="n">
        <f aca="false">B17/Supuestos!$B$6</f>
        <v>3.28767123287671</v>
      </c>
      <c r="D17" s="29" t="n">
        <f aca="false">B17/Supuestos!$B$6</f>
        <v>3.28767123287671</v>
      </c>
      <c r="E17" s="9"/>
    </row>
    <row r="18" customFormat="false" ht="15" hidden="false" customHeight="false" outlineLevel="0" collapsed="false">
      <c r="A18" s="7" t="s">
        <v>227</v>
      </c>
      <c r="B18" s="32" t="n">
        <f aca="false">Supuestos!$B$30</f>
        <v>120</v>
      </c>
      <c r="C18" s="29" t="n">
        <f aca="false">B18/Supuestos!$B$6</f>
        <v>6.57534246575342</v>
      </c>
      <c r="D18" s="29" t="n">
        <f aca="false">B18/Supuestos!$B$6</f>
        <v>6.57534246575342</v>
      </c>
      <c r="E18" s="9"/>
    </row>
    <row r="19" customFormat="false" ht="15" hidden="false" customHeight="false" outlineLevel="0" collapsed="false">
      <c r="A19" s="7" t="s">
        <v>228</v>
      </c>
      <c r="B19" s="32" t="n">
        <f aca="false">Supuestos!$B$31</f>
        <v>80</v>
      </c>
      <c r="C19" s="29" t="n">
        <f aca="false">B19/Supuestos!$B$6</f>
        <v>4.38356164383562</v>
      </c>
      <c r="D19" s="29" t="n">
        <f aca="false">B19/Supuestos!$B$6</f>
        <v>4.38356164383562</v>
      </c>
      <c r="E19" s="9"/>
    </row>
    <row r="20" customFormat="false" ht="15" hidden="false" customHeight="false" outlineLevel="0" collapsed="false">
      <c r="A20" s="7" t="s">
        <v>229</v>
      </c>
      <c r="B20" s="32" t="n">
        <f aca="false">Supuestos!$B$32</f>
        <v>102</v>
      </c>
      <c r="C20" s="29" t="n">
        <f aca="false">B20/Supuestos!$B$6</f>
        <v>5.58904109589041</v>
      </c>
      <c r="D20" s="29" t="n">
        <f aca="false">B20/Supuestos!$B$6</f>
        <v>5.58904109589041</v>
      </c>
      <c r="E20" s="9"/>
    </row>
    <row r="21" customFormat="false" ht="15" hidden="false" customHeight="false" outlineLevel="0" collapsed="false">
      <c r="A21" s="7" t="s">
        <v>230</v>
      </c>
      <c r="B21" s="32" t="n">
        <f aca="false">Supuestos!$B$33</f>
        <v>80</v>
      </c>
      <c r="C21" s="29" t="n">
        <f aca="false">B21/Supuestos!$B$6</f>
        <v>4.38356164383562</v>
      </c>
      <c r="D21" s="29" t="n">
        <f aca="false">B21/Supuestos!$B$6</f>
        <v>4.38356164383562</v>
      </c>
      <c r="E21" s="9"/>
    </row>
    <row r="22" customFormat="false" ht="15" hidden="false" customHeight="false" outlineLevel="0" collapsed="false">
      <c r="A22" s="7" t="s">
        <v>231</v>
      </c>
      <c r="B22" s="32" t="n">
        <f aca="false">Supuestos!$B$34</f>
        <v>110</v>
      </c>
      <c r="C22" s="29" t="n">
        <f aca="false">B22/Supuestos!$B$6</f>
        <v>6.02739726027397</v>
      </c>
      <c r="D22" s="29" t="n">
        <f aca="false">B22/Supuestos!$B$6</f>
        <v>6.02739726027397</v>
      </c>
      <c r="E22" s="9"/>
    </row>
    <row r="23" customFormat="false" ht="15" hidden="false" customHeight="false" outlineLevel="0" collapsed="false">
      <c r="A23" s="7" t="s">
        <v>232</v>
      </c>
      <c r="B23" s="32" t="n">
        <f aca="false">Supuestos!$B$35</f>
        <v>100</v>
      </c>
      <c r="C23" s="29" t="n">
        <f aca="false">B23/Supuestos!$B$6</f>
        <v>5.47945205479452</v>
      </c>
      <c r="D23" s="29" t="n">
        <f aca="false">B23/Supuestos!$B$6</f>
        <v>5.47945205479452</v>
      </c>
      <c r="E23" s="9"/>
    </row>
    <row r="24" customFormat="false" ht="15" hidden="false" customHeight="false" outlineLevel="0" collapsed="false">
      <c r="A24" s="7" t="s">
        <v>233</v>
      </c>
      <c r="B24" s="32" t="n">
        <f aca="false">Supuestos!$B$36</f>
        <v>10</v>
      </c>
      <c r="C24" s="29" t="n">
        <f aca="false">B24/Supuestos!$B$6</f>
        <v>0.547945205479452</v>
      </c>
      <c r="D24" s="29" t="n">
        <f aca="false">B24/Supuestos!$B$6</f>
        <v>0.547945205479452</v>
      </c>
      <c r="E24" s="9"/>
    </row>
    <row r="25" customFormat="false" ht="15" hidden="false" customHeight="false" outlineLevel="0" collapsed="false">
      <c r="A25" s="10" t="s">
        <v>234</v>
      </c>
      <c r="B25" s="33" t="n">
        <f aca="false">SUM(B14:B24)</f>
        <v>2332</v>
      </c>
      <c r="C25" s="31" t="n">
        <f aca="false">SUM(C14:C24)</f>
        <v>127.780821917808</v>
      </c>
      <c r="D25" s="31" t="n">
        <f aca="false">SUM(D14:D24)</f>
        <v>127.780821917808</v>
      </c>
      <c r="E25" s="9"/>
    </row>
    <row r="26" customFormat="false" ht="15" hidden="false" customHeight="false" outlineLevel="0" collapsed="false">
      <c r="A26" s="5" t="s">
        <v>235</v>
      </c>
      <c r="B26" s="6"/>
      <c r="C26" s="6"/>
      <c r="D26" s="6"/>
      <c r="E26" s="6"/>
    </row>
    <row r="27" customFormat="false" ht="15" hidden="false" customHeight="false" outlineLevel="0" collapsed="false">
      <c r="A27" s="7" t="s">
        <v>236</v>
      </c>
      <c r="B27" s="32" t="n">
        <f aca="false">Supuestos!$B$38</f>
        <v>1435</v>
      </c>
      <c r="C27" s="29" t="n">
        <f aca="false">B27/Supuestos!$B$6</f>
        <v>78.6301369863014</v>
      </c>
      <c r="D27" s="29" t="n">
        <f aca="false">B27/Supuestos!$B$6</f>
        <v>78.6301369863014</v>
      </c>
      <c r="E27" s="9"/>
    </row>
    <row r="28" customFormat="false" ht="15" hidden="false" customHeight="false" outlineLevel="0" collapsed="false">
      <c r="A28" s="7" t="s">
        <v>237</v>
      </c>
      <c r="B28" s="32" t="n">
        <f aca="false">Supuestos!$B$39</f>
        <v>318</v>
      </c>
      <c r="C28" s="29" t="n">
        <f aca="false">B28/Supuestos!$B$6</f>
        <v>17.4246575342466</v>
      </c>
      <c r="D28" s="29" t="n">
        <f aca="false">B28/Supuestos!$B$6</f>
        <v>17.4246575342466</v>
      </c>
      <c r="E28" s="9"/>
    </row>
    <row r="29" customFormat="false" ht="15" hidden="false" customHeight="false" outlineLevel="0" collapsed="false">
      <c r="A29" s="7" t="s">
        <v>238</v>
      </c>
      <c r="B29" s="32" t="n">
        <f aca="false">Supuestos!$B$40</f>
        <v>906</v>
      </c>
      <c r="C29" s="29" t="n">
        <f aca="false">B29/Supuestos!$B$6</f>
        <v>49.6438356164384</v>
      </c>
      <c r="D29" s="29" t="n">
        <f aca="false">B29/Supuestos!$B$6</f>
        <v>49.6438356164384</v>
      </c>
      <c r="E29" s="9"/>
    </row>
    <row r="30" customFormat="false" ht="15" hidden="false" customHeight="false" outlineLevel="0" collapsed="false">
      <c r="A30" s="7" t="s">
        <v>239</v>
      </c>
      <c r="B30" s="32" t="n">
        <f aca="false">Supuestos!$B$41</f>
        <v>684</v>
      </c>
      <c r="C30" s="29" t="n">
        <f aca="false">B30/Supuestos!$B$6</f>
        <v>37.4794520547945</v>
      </c>
      <c r="D30" s="29" t="n">
        <f aca="false">B30/Supuestos!$B$6</f>
        <v>37.4794520547945</v>
      </c>
      <c r="E30" s="9"/>
    </row>
    <row r="31" customFormat="false" ht="15" hidden="false" customHeight="false" outlineLevel="0" collapsed="false">
      <c r="A31" s="7" t="s">
        <v>240</v>
      </c>
      <c r="B31" s="32" t="n">
        <f aca="false">Supuestos!$B$42</f>
        <v>1076</v>
      </c>
      <c r="C31" s="29" t="n">
        <f aca="false">B31/Supuestos!$B$6</f>
        <v>58.958904109589</v>
      </c>
      <c r="D31" s="29" t="n">
        <f aca="false">B31/Supuestos!$B$6</f>
        <v>58.958904109589</v>
      </c>
      <c r="E31" s="9"/>
    </row>
    <row r="32" customFormat="false" ht="15" hidden="false" customHeight="false" outlineLevel="0" collapsed="false">
      <c r="A32" s="7" t="s">
        <v>241</v>
      </c>
      <c r="B32" s="32" t="n">
        <f aca="false">Supuestos!$B$43</f>
        <v>484</v>
      </c>
      <c r="C32" s="29" t="n">
        <f aca="false">B32/Supuestos!$B$6</f>
        <v>26.5205479452055</v>
      </c>
      <c r="D32" s="29" t="n">
        <f aca="false">B32/Supuestos!$B$6</f>
        <v>26.5205479452055</v>
      </c>
      <c r="E32" s="9"/>
    </row>
    <row r="33" customFormat="false" ht="15" hidden="false" customHeight="false" outlineLevel="0" collapsed="false">
      <c r="A33" s="7" t="s">
        <v>242</v>
      </c>
      <c r="B33" s="32" t="n">
        <f aca="false">Supuestos!$B$44</f>
        <v>748</v>
      </c>
      <c r="C33" s="29" t="n">
        <f aca="false">B33/Supuestos!$B$6</f>
        <v>40.986301369863</v>
      </c>
      <c r="D33" s="29" t="n">
        <f aca="false">B33/Supuestos!$B$6</f>
        <v>40.986301369863</v>
      </c>
      <c r="E33" s="9"/>
    </row>
    <row r="34" customFormat="false" ht="15" hidden="false" customHeight="false" outlineLevel="0" collapsed="false">
      <c r="A34" s="7" t="s">
        <v>243</v>
      </c>
      <c r="B34" s="32" t="n">
        <f aca="false">Supuestos!$B$45</f>
        <v>110</v>
      </c>
      <c r="C34" s="29" t="n">
        <f aca="false">B34/Supuestos!$B$6</f>
        <v>6.02739726027397</v>
      </c>
      <c r="D34" s="29" t="n">
        <f aca="false">B34/Supuestos!$B$6</f>
        <v>6.02739726027397</v>
      </c>
      <c r="E34" s="9"/>
    </row>
    <row r="35" customFormat="false" ht="15" hidden="false" customHeight="false" outlineLevel="0" collapsed="false">
      <c r="A35" s="10" t="s">
        <v>244</v>
      </c>
      <c r="B35" s="33" t="n">
        <f aca="false">SUM(B27:B34)</f>
        <v>5761</v>
      </c>
      <c r="C35" s="31" t="n">
        <f aca="false">SUM(C27:C34)</f>
        <v>315.671232876712</v>
      </c>
      <c r="D35" s="31" t="n">
        <f aca="false">SUM(D27:D34)</f>
        <v>315.671232876712</v>
      </c>
      <c r="E35" s="9" t="s">
        <v>245</v>
      </c>
    </row>
    <row r="36" customFormat="false" ht="15" hidden="false" customHeight="false" outlineLevel="0" collapsed="false">
      <c r="A36" s="5" t="s">
        <v>246</v>
      </c>
      <c r="B36" s="6"/>
      <c r="C36" s="6"/>
      <c r="D36" s="6"/>
      <c r="E36" s="6"/>
    </row>
    <row r="37" customFormat="false" ht="15" hidden="false" customHeight="false" outlineLevel="0" collapsed="false">
      <c r="A37" s="7" t="s">
        <v>247</v>
      </c>
      <c r="B37" s="28"/>
      <c r="C37" s="29" t="n">
        <f aca="false">Supuestos!$B$10*Supuestos!$B$9/Supuestos!$B$6</f>
        <v>38.3561643835616</v>
      </c>
      <c r="D37" s="29" t="n">
        <f aca="false">Supuestos!$B$10*Supuestos!$B$9/Supuestos!$B$6</f>
        <v>38.3561643835616</v>
      </c>
      <c r="E37" s="9"/>
    </row>
    <row r="38" customFormat="false" ht="15" hidden="false" customHeight="false" outlineLevel="0" collapsed="false">
      <c r="A38" s="7" t="s">
        <v>248</v>
      </c>
      <c r="B38" s="28"/>
      <c r="C38" s="29" t="n">
        <f aca="false">Supuestos!$B$11*Supuestos!$B$9/Supuestos!$B$6</f>
        <v>30.6849315068493</v>
      </c>
      <c r="D38" s="29" t="n">
        <f aca="false">Supuestos!$B$11*Supuestos!$B$9/Supuestos!$B$6</f>
        <v>30.6849315068493</v>
      </c>
      <c r="E38" s="9"/>
    </row>
    <row r="39" customFormat="false" ht="15" hidden="false" customHeight="false" outlineLevel="0" collapsed="false">
      <c r="A39" s="7" t="s">
        <v>249</v>
      </c>
      <c r="B39" s="28"/>
      <c r="C39" s="29" t="n">
        <f aca="false">Supuestos!$B$12*Supuestos!$B$9/Supuestos!$B$6</f>
        <v>7.67123287671233</v>
      </c>
      <c r="D39" s="29" t="n">
        <f aca="false">Supuestos!$B$12*Supuestos!$B$9/Supuestos!$B$6</f>
        <v>7.67123287671233</v>
      </c>
      <c r="E39" s="9"/>
    </row>
    <row r="40" customFormat="false" ht="15" hidden="false" customHeight="false" outlineLevel="0" collapsed="false">
      <c r="A40" s="10" t="s">
        <v>250</v>
      </c>
      <c r="B40" s="30"/>
      <c r="C40" s="31" t="n">
        <f aca="false">SUM(C37:C39)</f>
        <v>76.7123287671233</v>
      </c>
      <c r="D40" s="31" t="n">
        <f aca="false">SUM(D37:D39)</f>
        <v>76.7123287671233</v>
      </c>
      <c r="E40" s="9"/>
    </row>
    <row r="41" customFormat="false" ht="15" hidden="false" customHeight="false" outlineLevel="0" collapsed="false">
      <c r="A41" s="5" t="s">
        <v>251</v>
      </c>
      <c r="B41" s="6"/>
      <c r="C41" s="6"/>
      <c r="D41" s="6"/>
      <c r="E41" s="6"/>
    </row>
    <row r="42" customFormat="false" ht="15" hidden="false" customHeight="false" outlineLevel="0" collapsed="false">
      <c r="A42" s="7" t="s">
        <v>252</v>
      </c>
      <c r="B42" s="32" t="n">
        <f aca="false">Supuestos!$B$47</f>
        <v>150</v>
      </c>
      <c r="C42" s="29" t="n">
        <f aca="false">B42/Supuestos!$B$6</f>
        <v>8.21917808219178</v>
      </c>
      <c r="D42" s="29" t="n">
        <f aca="false">B42/Supuestos!$B$6</f>
        <v>8.21917808219178</v>
      </c>
      <c r="E42" s="9"/>
    </row>
    <row r="43" customFormat="false" ht="15" hidden="false" customHeight="false" outlineLevel="0" collapsed="false">
      <c r="A43" s="7" t="s">
        <v>253</v>
      </c>
      <c r="B43" s="32" t="n">
        <f aca="false">Supuestos!$B$48</f>
        <v>75</v>
      </c>
      <c r="C43" s="29" t="n">
        <f aca="false">B43/Supuestos!$B$6</f>
        <v>4.10958904109589</v>
      </c>
      <c r="D43" s="29" t="n">
        <f aca="false">B43/Supuestos!$B$6</f>
        <v>4.10958904109589</v>
      </c>
      <c r="E43" s="9"/>
    </row>
    <row r="44" customFormat="false" ht="15" hidden="false" customHeight="false" outlineLevel="0" collapsed="false">
      <c r="A44" s="10" t="s">
        <v>254</v>
      </c>
      <c r="B44" s="30"/>
      <c r="C44" s="31" t="n">
        <f aca="false">C42+C43</f>
        <v>12.3287671232877</v>
      </c>
      <c r="D44" s="31" t="n">
        <f aca="false">D42+D43</f>
        <v>12.3287671232877</v>
      </c>
      <c r="E44" s="9"/>
    </row>
    <row r="45" customFormat="false" ht="15" hidden="false" customHeight="false" outlineLevel="0" collapsed="false">
      <c r="A45" s="5" t="s">
        <v>255</v>
      </c>
      <c r="B45" s="6"/>
      <c r="C45" s="6"/>
      <c r="D45" s="6"/>
      <c r="E45" s="6"/>
    </row>
    <row r="46" customFormat="false" ht="15" hidden="false" customHeight="false" outlineLevel="0" collapsed="false">
      <c r="A46" s="10" t="s">
        <v>256</v>
      </c>
      <c r="B46" s="30"/>
      <c r="C46" s="31" t="n">
        <f aca="false">C12+C25+C35+C40+C44</f>
        <v>717.422150684932</v>
      </c>
      <c r="D46" s="31" t="n">
        <f aca="false">D12+D25+D35+D40+D44</f>
        <v>685.808150684932</v>
      </c>
      <c r="E46" s="9"/>
    </row>
    <row r="47" customFormat="false" ht="15" hidden="false" customHeight="false" outlineLevel="0" collapsed="false">
      <c r="A47" s="7" t="s">
        <v>68</v>
      </c>
      <c r="B47" s="28"/>
      <c r="C47" s="29" t="n">
        <f aca="false">Supuestos!$B$13*C46</f>
        <v>43.0453290410959</v>
      </c>
      <c r="D47" s="29" t="n">
        <f aca="false">Supuestos!$B$13*D46</f>
        <v>41.1484890410959</v>
      </c>
      <c r="E47" s="9"/>
    </row>
    <row r="48" customFormat="false" ht="15" hidden="false" customHeight="false" outlineLevel="0" collapsed="false">
      <c r="A48" s="7" t="s">
        <v>257</v>
      </c>
      <c r="B48" s="28"/>
      <c r="C48" s="29" t="n">
        <f aca="false">Supuestos!$B$49</f>
        <v>60</v>
      </c>
      <c r="D48" s="29" t="n">
        <f aca="false">Supuestos!$B$50</f>
        <v>40</v>
      </c>
      <c r="E48" s="9" t="s">
        <v>258</v>
      </c>
    </row>
    <row r="49" customFormat="false" ht="15" hidden="false" customHeight="false" outlineLevel="0" collapsed="false">
      <c r="A49" s="7" t="s">
        <v>71</v>
      </c>
      <c r="B49" s="28"/>
      <c r="C49" s="29" t="n">
        <f aca="false">Supuestos!$B$14*C46</f>
        <v>3.58711075342466</v>
      </c>
      <c r="D49" s="29" t="n">
        <f aca="false">Supuestos!$B$14*D46</f>
        <v>3.42904075342466</v>
      </c>
      <c r="E49" s="9"/>
    </row>
    <row r="50" customFormat="false" ht="15" hidden="false" customHeight="false" outlineLevel="0" collapsed="false">
      <c r="A50" s="10" t="s">
        <v>259</v>
      </c>
      <c r="B50" s="30"/>
      <c r="C50" s="31" t="n">
        <f aca="false">C46+C47+C48+C49</f>
        <v>824.054590479452</v>
      </c>
      <c r="D50" s="31" t="n">
        <f aca="false">D46+D47+D48+D49</f>
        <v>770.385680479452</v>
      </c>
      <c r="E50" s="9"/>
    </row>
    <row r="51" customFormat="false" ht="15" hidden="false" customHeight="false" outlineLevel="0" collapsed="false">
      <c r="A51" s="7" t="s">
        <v>260</v>
      </c>
      <c r="B51" s="28"/>
      <c r="C51" s="29" t="n">
        <f aca="false">Supuestos!$B$53*C50</f>
        <v>65.9243672383562</v>
      </c>
      <c r="D51" s="29" t="n">
        <f aca="false">Supuestos!$B$53*D50</f>
        <v>61.6308544383562</v>
      </c>
      <c r="E51" s="9"/>
    </row>
    <row r="52" customFormat="false" ht="15" hidden="false" customHeight="false" outlineLevel="0" collapsed="false">
      <c r="A52" s="7" t="s">
        <v>261</v>
      </c>
      <c r="B52" s="28"/>
      <c r="C52" s="29" t="n">
        <f aca="false">Supuestos!$B$54*(C50+C51)</f>
        <v>160.196212389205</v>
      </c>
      <c r="D52" s="29" t="n">
        <f aca="false">Supuestos!$B$54*(D50+D51)</f>
        <v>149.762976285205</v>
      </c>
      <c r="E52" s="9"/>
    </row>
    <row r="53" customFormat="false" ht="15" hidden="false" customHeight="false" outlineLevel="0" collapsed="false">
      <c r="A53" s="7" t="s">
        <v>262</v>
      </c>
      <c r="B53" s="28"/>
      <c r="C53" s="29" t="n">
        <f aca="false">Supuestos!$B$55</f>
        <v>20</v>
      </c>
      <c r="D53" s="29" t="n">
        <f aca="false">Supuestos!$B$55</f>
        <v>20</v>
      </c>
      <c r="E53" s="9"/>
    </row>
    <row r="54" customFormat="false" ht="15" hidden="false" customHeight="false" outlineLevel="0" collapsed="false">
      <c r="A54" s="10" t="s">
        <v>263</v>
      </c>
      <c r="B54" s="30"/>
      <c r="C54" s="31" t="n">
        <f aca="false">C50+C51+C52+C53</f>
        <v>1070.17517010701</v>
      </c>
      <c r="D54" s="31" t="n">
        <f aca="false">D50+D51+D52+D53</f>
        <v>1001.77951120301</v>
      </c>
      <c r="E54" s="9" t="s">
        <v>264</v>
      </c>
    </row>
    <row r="55" customFormat="false" ht="15" hidden="false" customHeight="false" outlineLevel="0" collapsed="false">
      <c r="A55" s="5" t="s">
        <v>265</v>
      </c>
      <c r="B55" s="6"/>
      <c r="C55" s="6"/>
      <c r="D55" s="6"/>
      <c r="E55" s="6"/>
    </row>
    <row r="56" customFormat="false" ht="15" hidden="false" customHeight="false" outlineLevel="0" collapsed="false">
      <c r="A56" s="7" t="s">
        <v>266</v>
      </c>
      <c r="B56" s="28"/>
      <c r="C56" s="29" t="n">
        <f aca="false">C12+C25+C37+C39+C42*0.4</f>
        <v>362.024890410959</v>
      </c>
      <c r="D56" s="29" t="n">
        <f aca="false">D12+D25+D37+D39+D42*0.4</f>
        <v>330.410890410959</v>
      </c>
      <c r="E56" s="9" t="s">
        <v>267</v>
      </c>
    </row>
    <row r="57" customFormat="false" ht="15" hidden="false" customHeight="false" outlineLevel="0" collapsed="false">
      <c r="A57" s="7" t="s">
        <v>268</v>
      </c>
      <c r="B57" s="28"/>
      <c r="C57" s="29" t="n">
        <f aca="false">C35+C38+C42*0.6+C43</f>
        <v>355.397260273973</v>
      </c>
      <c r="D57" s="29" t="n">
        <f aca="false">D35+D38+D42*0.6+D43</f>
        <v>355.397260273973</v>
      </c>
      <c r="E57" s="9"/>
    </row>
    <row r="58" customFormat="false" ht="15" hidden="false" customHeight="false" outlineLevel="0" collapsed="false">
      <c r="A58" s="7" t="s">
        <v>269</v>
      </c>
      <c r="B58" s="28"/>
      <c r="C58" s="29" t="n">
        <f aca="false">ROUND(C56+C57-C46,6)</f>
        <v>0</v>
      </c>
      <c r="D58" s="29" t="n">
        <f aca="false">ROUND(D56+D57-D46,6)</f>
        <v>0</v>
      </c>
      <c r="E58" s="9"/>
    </row>
    <row r="59" customFormat="false" ht="15" hidden="false" customHeight="false" outlineLevel="0" collapsed="false">
      <c r="A59" s="7" t="s">
        <v>270</v>
      </c>
      <c r="B59" s="28"/>
      <c r="C59" s="34" t="n">
        <f aca="false">C56/C46</f>
        <v>0.504619058758263</v>
      </c>
      <c r="D59" s="34" t="n">
        <f aca="false">D56/D46</f>
        <v>0.481783265598361</v>
      </c>
      <c r="E59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16"/>
    <col collapsed="false" customWidth="true" hidden="false" outlineLevel="0" max="4" min="4" style="0" width="72"/>
  </cols>
  <sheetData>
    <row r="1" customFormat="false" ht="17.35" hidden="false" customHeight="false" outlineLevel="0" collapsed="false">
      <c r="A1" s="1" t="s">
        <v>271</v>
      </c>
    </row>
    <row r="2" customFormat="false" ht="15" hidden="false" customHeight="false" outlineLevel="0" collapsed="false">
      <c r="A2" s="2" t="s">
        <v>272</v>
      </c>
    </row>
    <row r="4" customFormat="false" ht="15" hidden="false" customHeight="false" outlineLevel="0" collapsed="false">
      <c r="A4" s="4" t="s">
        <v>207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273</v>
      </c>
      <c r="B5" s="6"/>
      <c r="C5" s="6"/>
      <c r="D5" s="6"/>
    </row>
    <row r="6" customFormat="false" ht="15" hidden="false" customHeight="false" outlineLevel="0" collapsed="false">
      <c r="A6" s="7" t="s">
        <v>274</v>
      </c>
      <c r="B6" s="35" t="n">
        <f aca="false">'Costo unitario'!C50</f>
        <v>824.054590479452</v>
      </c>
      <c r="C6" s="35" t="n">
        <f aca="false">'Costo unitario'!D50</f>
        <v>770.385680479452</v>
      </c>
      <c r="D6" s="9" t="s">
        <v>275</v>
      </c>
    </row>
    <row r="7" customFormat="false" ht="15" hidden="false" customHeight="false" outlineLevel="0" collapsed="false">
      <c r="A7" s="7" t="s">
        <v>276</v>
      </c>
      <c r="B7" s="35" t="n">
        <f aca="false">'Costo unitario'!C50*'Costo unitario'!C59</f>
        <v>415.833651813167</v>
      </c>
      <c r="C7" s="35" t="n">
        <f aca="false">'Costo unitario'!D50*'Costo unitario'!D59</f>
        <v>371.158928911606</v>
      </c>
      <c r="D7" s="9"/>
    </row>
    <row r="8" customFormat="false" ht="15" hidden="false" customHeight="false" outlineLevel="0" collapsed="false">
      <c r="A8" s="7" t="s">
        <v>277</v>
      </c>
      <c r="B8" s="29" t="n">
        <f aca="false">B6-B7</f>
        <v>408.220938666285</v>
      </c>
      <c r="C8" s="29" t="n">
        <f aca="false">C6-C7</f>
        <v>399.226751567846</v>
      </c>
      <c r="D8" s="9"/>
    </row>
    <row r="9" customFormat="false" ht="15" hidden="false" customHeight="false" outlineLevel="0" collapsed="false">
      <c r="A9" s="5" t="s">
        <v>278</v>
      </c>
      <c r="B9" s="6"/>
      <c r="C9" s="6"/>
      <c r="D9" s="6"/>
    </row>
    <row r="10" customFormat="false" ht="15" hidden="false" customHeight="false" outlineLevel="0" collapsed="false">
      <c r="A10" s="7" t="s">
        <v>279</v>
      </c>
      <c r="B10" s="36" t="n">
        <f aca="false">B6/(1-0.5)</f>
        <v>1648.1091809589</v>
      </c>
      <c r="C10" s="36" t="n">
        <f aca="false">C6/(1-0.5)</f>
        <v>1540.7713609589</v>
      </c>
      <c r="D10" s="9"/>
    </row>
    <row r="11" customFormat="false" ht="15" hidden="false" customHeight="false" outlineLevel="0" collapsed="false">
      <c r="A11" s="7" t="s">
        <v>280</v>
      </c>
      <c r="B11" s="36" t="n">
        <f aca="false">B6/(1-0.55)</f>
        <v>1831.23242328767</v>
      </c>
      <c r="C11" s="36" t="n">
        <f aca="false">C6/(1-0.55)</f>
        <v>1711.96817884323</v>
      </c>
      <c r="D11" s="9"/>
    </row>
    <row r="12" customFormat="false" ht="15" hidden="false" customHeight="false" outlineLevel="0" collapsed="false">
      <c r="A12" s="7" t="s">
        <v>281</v>
      </c>
      <c r="B12" s="36" t="n">
        <f aca="false">B6/(1-0.6)</f>
        <v>2060.13647619863</v>
      </c>
      <c r="C12" s="36" t="n">
        <f aca="false">C6/(1-0.6)</f>
        <v>1925.96420119863</v>
      </c>
      <c r="D12" s="9"/>
    </row>
    <row r="13" customFormat="false" ht="15" hidden="false" customHeight="false" outlineLevel="0" collapsed="false">
      <c r="A13" s="7" t="s">
        <v>282</v>
      </c>
      <c r="B13" s="36" t="n">
        <f aca="false">B6/(1-0.65)</f>
        <v>2354.44168708415</v>
      </c>
      <c r="C13" s="36" t="n">
        <f aca="false">C6/(1-0.65)</f>
        <v>2201.10194422701</v>
      </c>
      <c r="D13" s="9"/>
    </row>
    <row r="14" customFormat="false" ht="15" hidden="false" customHeight="false" outlineLevel="0" collapsed="false">
      <c r="A14" s="10" t="s">
        <v>283</v>
      </c>
      <c r="B14" s="37" t="n">
        <f aca="false">B6/(1-Supuestos!$B$57)</f>
        <v>1962.03473923679</v>
      </c>
      <c r="C14" s="37" t="n">
        <f aca="false">C6/(1-Supuestos!$B$57)</f>
        <v>1834.25162018917</v>
      </c>
      <c r="D14" s="9"/>
    </row>
    <row r="15" customFormat="false" ht="15" hidden="false" customHeight="false" outlineLevel="0" collapsed="false">
      <c r="A15" s="7" t="s">
        <v>284</v>
      </c>
      <c r="B15" s="36" t="n">
        <f aca="false">B7/(1-Supuestos!$B$57)</f>
        <v>990.080123364683</v>
      </c>
      <c r="C15" s="36" t="n">
        <f aca="false">C7/(1-Supuestos!$B$57)</f>
        <v>883.711735503823</v>
      </c>
      <c r="D15" s="9"/>
    </row>
    <row r="16" customFormat="false" ht="15" hidden="false" customHeight="false" outlineLevel="0" collapsed="false">
      <c r="A16" s="7" t="s">
        <v>285</v>
      </c>
      <c r="B16" s="36" t="n">
        <f aca="false">B8/(1-Supuestos!$B$57)</f>
        <v>971.954615872107</v>
      </c>
      <c r="C16" s="36" t="n">
        <f aca="false">C8/(1-Supuestos!$B$57)</f>
        <v>950.539884685349</v>
      </c>
      <c r="D16" s="9"/>
    </row>
    <row r="17" customFormat="false" ht="15" hidden="false" customHeight="false" outlineLevel="0" collapsed="false">
      <c r="A17" s="5" t="s">
        <v>286</v>
      </c>
      <c r="B17" s="6"/>
      <c r="C17" s="6"/>
      <c r="D17" s="6"/>
    </row>
    <row r="18" customFormat="false" ht="15" hidden="false" customHeight="false" outlineLevel="0" collapsed="false">
      <c r="A18" s="7" t="s">
        <v>287</v>
      </c>
      <c r="B18" s="8" t="n">
        <f aca="false">Supuestos!$B$58</f>
        <v>1150</v>
      </c>
      <c r="C18" s="8" t="n">
        <f aca="false">Supuestos!$B$58</f>
        <v>1150</v>
      </c>
      <c r="D18" s="9" t="s">
        <v>288</v>
      </c>
    </row>
    <row r="19" customFormat="false" ht="15" hidden="false" customHeight="false" outlineLevel="0" collapsed="false">
      <c r="A19" s="7" t="s">
        <v>289</v>
      </c>
      <c r="B19" s="8" t="n">
        <f aca="false">Supuestos!$B$59</f>
        <v>800</v>
      </c>
      <c r="C19" s="8" t="n">
        <f aca="false">Supuestos!$B$59</f>
        <v>800</v>
      </c>
      <c r="D19" s="9"/>
    </row>
    <row r="20" customFormat="false" ht="15" hidden="false" customHeight="false" outlineLevel="0" collapsed="false">
      <c r="A20" s="10" t="s">
        <v>290</v>
      </c>
      <c r="B20" s="37" t="n">
        <f aca="false">B18+B19</f>
        <v>1950</v>
      </c>
      <c r="C20" s="37" t="n">
        <f aca="false">C18+C19</f>
        <v>1950</v>
      </c>
      <c r="D20" s="9"/>
    </row>
    <row r="21" customFormat="false" ht="15" hidden="false" customHeight="false" outlineLevel="0" collapsed="false">
      <c r="A21" s="12" t="s">
        <v>291</v>
      </c>
      <c r="B21" s="38" t="n">
        <f aca="false">IF(B20=0,0,1-B6/B20)</f>
        <v>0.57740790231823</v>
      </c>
      <c r="C21" s="38" t="n">
        <f aca="false">IF(C20=0,0,1-C6/C20)</f>
        <v>0.604930420266948</v>
      </c>
      <c r="D21" s="9"/>
    </row>
    <row r="22" customFormat="false" ht="15" hidden="false" customHeight="false" outlineLevel="0" collapsed="false">
      <c r="A22" s="7" t="s">
        <v>292</v>
      </c>
      <c r="B22" s="34" t="n">
        <f aca="false">IF(B18=0,0,1-B7/B18)</f>
        <v>0.638405520162463</v>
      </c>
      <c r="C22" s="34" t="n">
        <f aca="false">IF(C18=0,0,1-C7/C18)</f>
        <v>0.677253105294256</v>
      </c>
      <c r="D22" s="9"/>
    </row>
    <row r="23" customFormat="false" ht="15" hidden="false" customHeight="false" outlineLevel="0" collapsed="false">
      <c r="A23" s="7" t="s">
        <v>293</v>
      </c>
      <c r="B23" s="34" t="n">
        <f aca="false">IF(B19=0,0,1-B8/B19)</f>
        <v>0.489723826667144</v>
      </c>
      <c r="C23" s="34" t="n">
        <f aca="false">IF(C19=0,0,1-C8/C19)</f>
        <v>0.500966560540192</v>
      </c>
      <c r="D23" s="9"/>
    </row>
    <row r="24" customFormat="false" ht="15" hidden="false" customHeight="false" outlineLevel="0" collapsed="false">
      <c r="A24" s="7" t="s">
        <v>294</v>
      </c>
      <c r="B24" s="36" t="n">
        <f aca="false">B10</f>
        <v>1648.1091809589</v>
      </c>
      <c r="C24" s="36" t="n">
        <f aca="false">C10</f>
        <v>1540.7713609589</v>
      </c>
      <c r="D24" s="9" t="s">
        <v>295</v>
      </c>
    </row>
    <row r="25" customFormat="false" ht="15" hidden="false" customHeight="false" outlineLevel="0" collapsed="false">
      <c r="A25" s="7" t="s">
        <v>296</v>
      </c>
      <c r="B25" s="34" t="n">
        <f aca="false">IF(B20=0,0,1-B24/B20)</f>
        <v>0.15481580463646</v>
      </c>
      <c r="C25" s="34" t="n">
        <f aca="false">IF(C20=0,0,1-C24/C20)</f>
        <v>0.209860840533895</v>
      </c>
      <c r="D25" s="9"/>
    </row>
    <row r="26" customFormat="false" ht="15" hidden="false" customHeight="false" outlineLevel="0" collapsed="false">
      <c r="A26" s="5" t="s">
        <v>297</v>
      </c>
      <c r="B26" s="6"/>
      <c r="C26" s="6"/>
      <c r="D26" s="6"/>
    </row>
    <row r="27" customFormat="false" ht="15" hidden="false" customHeight="false" outlineLevel="0" collapsed="false">
      <c r="A27" s="7" t="s">
        <v>298</v>
      </c>
      <c r="B27" s="35" t="n">
        <f aca="false">'Costo unitario'!C54</f>
        <v>1070.17517010701</v>
      </c>
      <c r="C27" s="35" t="n">
        <f aca="false">'Costo unitario'!D54</f>
        <v>1001.77951120301</v>
      </c>
      <c r="D27" s="9"/>
    </row>
    <row r="28" customFormat="false" ht="15" hidden="false" customHeight="false" outlineLevel="0" collapsed="false">
      <c r="A28" s="7" t="s">
        <v>299</v>
      </c>
      <c r="B28" s="36" t="n">
        <f aca="false">B27/(1-Supuestos!$B$57)</f>
        <v>2548.03611930241</v>
      </c>
      <c r="C28" s="36" t="n">
        <f aca="false">C27/(1-Supuestos!$B$57)</f>
        <v>2385.18931238813</v>
      </c>
      <c r="D28" s="9" t="s">
        <v>300</v>
      </c>
    </row>
    <row r="29" customFormat="false" ht="15" hidden="false" customHeight="false" outlineLevel="0" collapsed="false">
      <c r="A29" s="5" t="s">
        <v>301</v>
      </c>
      <c r="B29" s="6"/>
      <c r="C29" s="6"/>
      <c r="D29" s="6"/>
    </row>
    <row r="30" customFormat="false" ht="15" hidden="false" customHeight="false" outlineLevel="0" collapsed="false">
      <c r="A30" s="7" t="s">
        <v>302</v>
      </c>
      <c r="B30" s="8" t="n">
        <f aca="false">Supuestos!$B$61/Supuestos!$B$6</f>
        <v>1381.31506849315</v>
      </c>
      <c r="C30" s="8" t="n">
        <f aca="false">Supuestos!$B$61/Supuestos!$B$6</f>
        <v>1381.31506849315</v>
      </c>
      <c r="D30" s="9" t="s">
        <v>303</v>
      </c>
    </row>
    <row r="31" customFormat="false" ht="15" hidden="false" customHeight="false" outlineLevel="0" collapsed="false">
      <c r="A31" s="7" t="s">
        <v>304</v>
      </c>
      <c r="B31" s="8" t="n">
        <f aca="false">Supuestos!$B$60</f>
        <v>4200</v>
      </c>
      <c r="C31" s="8" t="n">
        <f aca="false">Supuestos!$B$60</f>
        <v>4200</v>
      </c>
      <c r="D31" s="9"/>
    </row>
    <row r="32" customFormat="false" ht="15" hidden="false" customHeight="false" outlineLevel="0" collapsed="false">
      <c r="A32" s="7" t="s">
        <v>305</v>
      </c>
      <c r="B32" s="34" t="n">
        <f aca="false">IF(B31=0,0,1-B30/B31)</f>
        <v>0.671115459882583</v>
      </c>
      <c r="C32" s="34" t="n">
        <f aca="false">IF(C31=0,0,1-C30/C31)</f>
        <v>0.671115459882583</v>
      </c>
      <c r="D32" s="9"/>
    </row>
    <row r="33" customFormat="false" ht="15" hidden="false" customHeight="false" outlineLevel="0" collapsed="false">
      <c r="A33" s="7" t="s">
        <v>306</v>
      </c>
      <c r="B33" s="36" t="n">
        <f aca="false">Supuestos!$B$72*(Supuestos!$B$74+Supuestos!$B$73*(Supuestos!$B$75+Supuestos!$B$76))+Supuestos!$B$77</f>
        <v>3880</v>
      </c>
      <c r="C33" s="36" t="n">
        <f aca="false">Supuestos!$B$72*(Supuestos!$B$74+Supuestos!$B$73*(Supuestos!$B$75+Supuestos!$B$76))+Supuestos!$B$77</f>
        <v>3880</v>
      </c>
      <c r="D33" s="9"/>
    </row>
    <row r="34" customFormat="false" ht="15" hidden="false" customHeight="false" outlineLevel="0" collapsed="false">
      <c r="A34" s="7" t="s">
        <v>307</v>
      </c>
      <c r="B34" s="36" t="n">
        <f aca="false">Supuestos!$B$72*Supuestos!$B$73*Supuestos!$B$78*Supuestos!$B$79</f>
        <v>5760</v>
      </c>
      <c r="C34" s="36" t="n">
        <f aca="false">Supuestos!$B$72*Supuestos!$B$73*Supuestos!$B$78*Supuestos!$B$79</f>
        <v>5760</v>
      </c>
      <c r="D34" s="9"/>
    </row>
    <row r="35" customFormat="false" ht="15" hidden="false" customHeight="false" outlineLevel="0" collapsed="false">
      <c r="A35" s="10" t="s">
        <v>308</v>
      </c>
      <c r="B35" s="37" t="n">
        <f aca="false">B33*1.15+B34</f>
        <v>10222</v>
      </c>
      <c r="C35" s="37" t="n">
        <f aca="false">C33*1.15+C34</f>
        <v>10222</v>
      </c>
      <c r="D35" s="9" t="s">
        <v>309</v>
      </c>
    </row>
    <row r="36" customFormat="false" ht="15" hidden="false" customHeight="false" outlineLevel="0" collapsed="false">
      <c r="A36" s="7" t="s">
        <v>310</v>
      </c>
      <c r="B36" s="36" t="n">
        <f aca="false">B35/Supuestos!$B$80</f>
        <v>511.1</v>
      </c>
      <c r="C36" s="36" t="n">
        <f aca="false">C35/Supuestos!$B$80</f>
        <v>511.1</v>
      </c>
      <c r="D36" s="9"/>
    </row>
    <row r="37" customFormat="false" ht="15" hidden="false" customHeight="false" outlineLevel="0" collapsed="false">
      <c r="A37" s="7" t="s">
        <v>311</v>
      </c>
      <c r="B37" s="36" t="n">
        <f aca="false">Supuestos!$B$82+Supuestos!$B$83</f>
        <v>5225</v>
      </c>
      <c r="C37" s="36" t="n">
        <f aca="false">Supuestos!$B$82+Supuestos!$B$83</f>
        <v>5225</v>
      </c>
      <c r="D37" s="9" t="s">
        <v>312</v>
      </c>
    </row>
    <row r="38" customFormat="false" ht="15" hidden="false" customHeight="false" outlineLevel="0" collapsed="false">
      <c r="A38" s="7" t="s">
        <v>313</v>
      </c>
      <c r="B38" s="36" t="n">
        <f aca="false">B37/Supuestos!$B$84</f>
        <v>261.25</v>
      </c>
      <c r="C38" s="36" t="n">
        <f aca="false">C37/Supuestos!$B$84</f>
        <v>261.25</v>
      </c>
      <c r="D38" s="9"/>
    </row>
    <row r="39" customFormat="false" ht="15" hidden="false" customHeight="false" outlineLevel="0" collapsed="false">
      <c r="A39" s="5" t="s">
        <v>314</v>
      </c>
      <c r="B39" s="6"/>
      <c r="C39" s="6"/>
      <c r="D39" s="6"/>
    </row>
    <row r="40" customFormat="false" ht="15" hidden="false" customHeight="false" outlineLevel="0" collapsed="false">
      <c r="A40" s="7" t="s">
        <v>315</v>
      </c>
      <c r="B40" s="29" t="n">
        <f aca="false">-PMT(Supuestos!$B$62/12,Supuestos!$B$63,B20)</f>
        <v>70.4971712950378</v>
      </c>
      <c r="C40" s="29" t="n">
        <f aca="false">-PMT(Supuestos!$B$62/12,Supuestos!$B$63,C20)</f>
        <v>70.4971712950378</v>
      </c>
      <c r="D40" s="9"/>
    </row>
    <row r="41" customFormat="false" ht="15" hidden="false" customHeight="false" outlineLevel="0" collapsed="false">
      <c r="A41" s="7" t="s">
        <v>316</v>
      </c>
      <c r="B41" s="36" t="n">
        <f aca="false">B40+Supuestos!$B$67</f>
        <v>115.497171295038</v>
      </c>
      <c r="C41" s="36" t="n">
        <f aca="false">C40+Supuestos!$B$67</f>
        <v>115.497171295038</v>
      </c>
      <c r="D41" s="9" t="s">
        <v>317</v>
      </c>
    </row>
    <row r="42" customFormat="false" ht="15" hidden="false" customHeight="false" outlineLevel="0" collapsed="false">
      <c r="A42" s="7" t="s">
        <v>318</v>
      </c>
      <c r="B42" s="36" t="n">
        <f aca="false">B40+Supuestos!$B$68</f>
        <v>145.497171295038</v>
      </c>
      <c r="C42" s="36" t="n">
        <f aca="false">C40+Supuestos!$B$68</f>
        <v>145.497171295038</v>
      </c>
      <c r="D42" s="9"/>
    </row>
    <row r="43" customFormat="false" ht="15" hidden="false" customHeight="false" outlineLevel="0" collapsed="false">
      <c r="A43" s="7" t="s">
        <v>319</v>
      </c>
      <c r="B43" s="36" t="n">
        <f aca="false">B40+Supuestos!$B$69</f>
        <v>180.497171295038</v>
      </c>
      <c r="C43" s="36" t="n">
        <f aca="false">C40+Supuestos!$B$69</f>
        <v>180.497171295038</v>
      </c>
      <c r="D43" s="9"/>
    </row>
    <row r="44" customFormat="false" ht="15" hidden="false" customHeight="false" outlineLevel="0" collapsed="false">
      <c r="A44" s="7" t="s">
        <v>320</v>
      </c>
      <c r="B44" s="36" t="n">
        <f aca="false">B42*Supuestos!$B$63</f>
        <v>5237.89816662136</v>
      </c>
      <c r="C44" s="36" t="n">
        <f aca="false">C42*Supuestos!$B$63</f>
        <v>5237.89816662136</v>
      </c>
      <c r="D44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" t="s">
        <v>321</v>
      </c>
    </row>
    <row r="2" customFormat="false" ht="15" hidden="false" customHeight="false" outlineLevel="0" collapsed="false">
      <c r="A2" s="2" t="s">
        <v>322</v>
      </c>
    </row>
    <row r="4" customFormat="false" ht="26.85" hidden="false" customHeight="false" outlineLevel="0" collapsed="false">
      <c r="A4" s="4" t="s">
        <v>207</v>
      </c>
      <c r="B4" s="4" t="s">
        <v>323</v>
      </c>
      <c r="C4" s="4" t="s">
        <v>5</v>
      </c>
    </row>
    <row r="5" customFormat="false" ht="15" hidden="false" customHeight="false" outlineLevel="0" collapsed="false">
      <c r="A5" s="5" t="s">
        <v>324</v>
      </c>
      <c r="B5" s="6"/>
      <c r="C5" s="6"/>
    </row>
    <row r="6" customFormat="false" ht="15" hidden="false" customHeight="false" outlineLevel="0" collapsed="false">
      <c r="A6" s="7" t="s">
        <v>325</v>
      </c>
      <c r="B6" s="35" t="n">
        <f aca="false">Supuestos!$B$64</f>
        <v>12</v>
      </c>
      <c r="C6" s="9"/>
    </row>
    <row r="7" customFormat="false" ht="15" hidden="false" customHeight="false" outlineLevel="0" collapsed="false">
      <c r="A7" s="7" t="s">
        <v>326</v>
      </c>
      <c r="B7" s="35" t="n">
        <f aca="false">Supuestos!$B$65</f>
        <v>3</v>
      </c>
      <c r="C7" s="9"/>
    </row>
    <row r="8" customFormat="false" ht="15" hidden="false" customHeight="false" outlineLevel="0" collapsed="false">
      <c r="A8" s="7" t="s">
        <v>327</v>
      </c>
      <c r="B8" s="35" t="n">
        <f aca="false">Supuestos!$B$66</f>
        <v>6</v>
      </c>
      <c r="C8" s="9"/>
    </row>
    <row r="9" customFormat="false" ht="15" hidden="false" customHeight="false" outlineLevel="0" collapsed="false">
      <c r="A9" s="10" t="s">
        <v>328</v>
      </c>
      <c r="B9" s="31" t="n">
        <f aca="false">SUM(B6:B8)</f>
        <v>21</v>
      </c>
      <c r="C9" s="9"/>
    </row>
    <row r="10" customFormat="false" ht="15" hidden="false" customHeight="false" outlineLevel="0" collapsed="false">
      <c r="A10" s="5" t="s">
        <v>329</v>
      </c>
      <c r="B10" s="6"/>
      <c r="C10" s="6"/>
    </row>
    <row r="11" customFormat="false" ht="15" hidden="false" customHeight="false" outlineLevel="0" collapsed="false">
      <c r="A11" s="7" t="s">
        <v>330</v>
      </c>
      <c r="B11" s="8" t="n">
        <f aca="false">Supuestos!$B$67</f>
        <v>45</v>
      </c>
      <c r="C11" s="9"/>
    </row>
    <row r="12" customFormat="false" ht="15" hidden="false" customHeight="false" outlineLevel="0" collapsed="false">
      <c r="A12" s="7" t="s">
        <v>331</v>
      </c>
      <c r="B12" s="34" t="n">
        <f aca="false">IF(B11=0,0,1-B9/B11)</f>
        <v>0.533333333333333</v>
      </c>
      <c r="C12" s="9"/>
    </row>
    <row r="13" customFormat="false" ht="15" hidden="false" customHeight="false" outlineLevel="0" collapsed="false">
      <c r="A13" s="7" t="s">
        <v>332</v>
      </c>
      <c r="B13" s="8" t="n">
        <f aca="false">Supuestos!$B$68</f>
        <v>75</v>
      </c>
      <c r="C13" s="9"/>
    </row>
    <row r="14" customFormat="false" ht="15" hidden="false" customHeight="false" outlineLevel="0" collapsed="false">
      <c r="A14" s="7" t="s">
        <v>331</v>
      </c>
      <c r="B14" s="34" t="n">
        <f aca="false">IF(B13=0,0,1-B9/B13)</f>
        <v>0.72</v>
      </c>
      <c r="C14" s="9"/>
    </row>
    <row r="15" customFormat="false" ht="15" hidden="false" customHeight="false" outlineLevel="0" collapsed="false">
      <c r="A15" s="7" t="s">
        <v>333</v>
      </c>
      <c r="B15" s="8" t="n">
        <f aca="false">Supuestos!$B$69</f>
        <v>110</v>
      </c>
      <c r="C15" s="9"/>
    </row>
    <row r="16" customFormat="false" ht="15" hidden="false" customHeight="false" outlineLevel="0" collapsed="false">
      <c r="A16" s="7" t="s">
        <v>331</v>
      </c>
      <c r="B16" s="34" t="n">
        <f aca="false">IF(B15=0,0,1-B9/B15)</f>
        <v>0.809090909090909</v>
      </c>
      <c r="C16" s="9" t="s">
        <v>334</v>
      </c>
    </row>
    <row r="17" customFormat="false" ht="15" hidden="false" customHeight="false" outlineLevel="0" collapsed="false">
      <c r="A17" s="5" t="s">
        <v>335</v>
      </c>
      <c r="B17" s="6"/>
      <c r="C17" s="6"/>
    </row>
    <row r="18" customFormat="false" ht="15" hidden="false" customHeight="false" outlineLevel="0" collapsed="false">
      <c r="A18" s="7" t="s">
        <v>336</v>
      </c>
      <c r="B18" s="24" t="n">
        <v>16</v>
      </c>
      <c r="C18" s="9" t="s">
        <v>337</v>
      </c>
    </row>
    <row r="19" customFormat="false" ht="15" hidden="false" customHeight="false" outlineLevel="0" collapsed="false">
      <c r="A19" s="7" t="s">
        <v>338</v>
      </c>
      <c r="B19" s="24" t="n">
        <v>17</v>
      </c>
      <c r="C19" s="9" t="s">
        <v>339</v>
      </c>
    </row>
    <row r="20" customFormat="false" ht="15" hidden="false" customHeight="false" outlineLevel="0" collapsed="false">
      <c r="A20" s="7" t="s">
        <v>340</v>
      </c>
      <c r="B20" s="24" t="n">
        <v>22</v>
      </c>
      <c r="C20" s="9" t="s">
        <v>341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8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10"/>
    <col collapsed="false" customWidth="true" hidden="false" outlineLevel="0" max="7" min="7" style="0" width="60"/>
  </cols>
  <sheetData>
    <row r="1" customFormat="false" ht="17.35" hidden="false" customHeight="false" outlineLevel="0" collapsed="false">
      <c r="A1" s="1" t="s">
        <v>342</v>
      </c>
    </row>
    <row r="2" customFormat="false" ht="15" hidden="false" customHeight="false" outlineLevel="0" collapsed="false">
      <c r="A2" s="2" t="s">
        <v>343</v>
      </c>
    </row>
    <row r="4" customFormat="false" ht="26.85" hidden="false" customHeight="false" outlineLevel="0" collapsed="false">
      <c r="A4" s="4" t="s">
        <v>207</v>
      </c>
      <c r="B4" s="4" t="s">
        <v>344</v>
      </c>
      <c r="C4" s="4" t="s">
        <v>345</v>
      </c>
      <c r="D4" s="4" t="s">
        <v>346</v>
      </c>
      <c r="E4" s="4" t="s">
        <v>347</v>
      </c>
      <c r="F4" s="4" t="s">
        <v>348</v>
      </c>
      <c r="G4" s="4" t="s">
        <v>5</v>
      </c>
    </row>
    <row r="5" customFormat="false" ht="15" hidden="false" customHeight="false" outlineLevel="0" collapsed="false">
      <c r="A5" s="7" t="s">
        <v>349</v>
      </c>
      <c r="B5" s="19" t="n">
        <v>20</v>
      </c>
      <c r="C5" s="8" t="n">
        <f aca="false">Supuestos!$B$58</f>
        <v>1150</v>
      </c>
      <c r="D5" s="36" t="n">
        <f aca="false">B5*C5</f>
        <v>23000</v>
      </c>
      <c r="E5" s="36" t="n">
        <f aca="false">B5*'Costo unitario'!C50*'Costo unitario'!C59</f>
        <v>8316.67303626334</v>
      </c>
      <c r="F5" s="34" t="n">
        <f aca="false">IF(D5=0,0,1-E5/D5)</f>
        <v>0.638405520162463</v>
      </c>
      <c r="G5" s="9" t="s">
        <v>350</v>
      </c>
    </row>
    <row r="6" customFormat="false" ht="15" hidden="false" customHeight="false" outlineLevel="0" collapsed="false">
      <c r="A6" s="7" t="s">
        <v>351</v>
      </c>
      <c r="B6" s="39" t="n">
        <f aca="false">B5</f>
        <v>20</v>
      </c>
      <c r="C6" s="8" t="n">
        <f aca="false">Supuestos!$B$59</f>
        <v>800</v>
      </c>
      <c r="D6" s="36" t="n">
        <f aca="false">B6*C6</f>
        <v>16000</v>
      </c>
      <c r="E6" s="36" t="n">
        <f aca="false">B6*'Costo unitario'!C50*(1-'Costo unitario'!C59)</f>
        <v>8164.4187733257</v>
      </c>
      <c r="F6" s="34" t="n">
        <f aca="false">IF(D6=0,0,1-E6/D6)</f>
        <v>0.489723826667144</v>
      </c>
      <c r="G6" s="9"/>
    </row>
    <row r="7" customFormat="false" ht="15" hidden="false" customHeight="false" outlineLevel="0" collapsed="false">
      <c r="A7" s="7" t="s">
        <v>352</v>
      </c>
      <c r="B7" s="39" t="n">
        <f aca="false">ROUNDUP(B5*Supuestos!$B$70,0)</f>
        <v>2</v>
      </c>
      <c r="C7" s="8" t="n">
        <f aca="false">Supuestos!$B$58</f>
        <v>1150</v>
      </c>
      <c r="D7" s="36" t="n">
        <f aca="false">B7*C7</f>
        <v>2300</v>
      </c>
      <c r="E7" s="36" t="n">
        <f aca="false">B7*'Costo unitario'!C50*'Costo unitario'!C59</f>
        <v>831.667303626334</v>
      </c>
      <c r="F7" s="34" t="n">
        <f aca="false">IF(D7=0,0,1-E7/D7)</f>
        <v>0.638405520162463</v>
      </c>
      <c r="G7" s="9" t="s">
        <v>353</v>
      </c>
    </row>
    <row r="8" customFormat="false" ht="15" hidden="false" customHeight="false" outlineLevel="0" collapsed="false">
      <c r="A8" s="7" t="s">
        <v>354</v>
      </c>
      <c r="B8" s="19" t="n">
        <v>1</v>
      </c>
      <c r="C8" s="8" t="n">
        <f aca="false">Supuestos!$B$60</f>
        <v>4200</v>
      </c>
      <c r="D8" s="36" t="n">
        <f aca="false">B8*C8</f>
        <v>4200</v>
      </c>
      <c r="E8" s="36" t="n">
        <f aca="false">B8*Supuestos!$B$61/Supuestos!$B$6</f>
        <v>1381.31506849315</v>
      </c>
      <c r="F8" s="34" t="n">
        <f aca="false">IF(D8=0,0,1-E8/D8)</f>
        <v>0.671115459882583</v>
      </c>
      <c r="G8" s="9"/>
    </row>
    <row r="9" customFormat="false" ht="15" hidden="false" customHeight="false" outlineLevel="0" collapsed="false">
      <c r="A9" s="7" t="s">
        <v>355</v>
      </c>
      <c r="B9" s="39" t="n">
        <f aca="false">ROUNDUP(B5/Supuestos!$B$80,0)</f>
        <v>1</v>
      </c>
      <c r="C9" s="36" t="n">
        <f aca="false">Precio!B35</f>
        <v>10222</v>
      </c>
      <c r="D9" s="36" t="n">
        <f aca="false">B9*C9</f>
        <v>10222</v>
      </c>
      <c r="E9" s="36" t="n">
        <f aca="false">B9*Precio!B33</f>
        <v>3880</v>
      </c>
      <c r="F9" s="34" t="n">
        <f aca="false">IF(D9=0,0,1-E9/D9)</f>
        <v>0.620426531011544</v>
      </c>
      <c r="G9" s="9" t="s">
        <v>356</v>
      </c>
    </row>
    <row r="10" customFormat="false" ht="15" hidden="false" customHeight="false" outlineLevel="0" collapsed="false">
      <c r="A10" s="7" t="s">
        <v>357</v>
      </c>
      <c r="B10" s="19" t="n">
        <v>1</v>
      </c>
      <c r="C10" s="36" t="n">
        <f aca="false">Precio!B37</f>
        <v>5225</v>
      </c>
      <c r="D10" s="36" t="n">
        <f aca="false">B10*C10</f>
        <v>5225</v>
      </c>
      <c r="E10" s="36" t="n">
        <f aca="false">Precio!B37</f>
        <v>5225</v>
      </c>
      <c r="F10" s="34" t="n">
        <f aca="false">IF(D10=0,0,1-E10/D10)</f>
        <v>0</v>
      </c>
      <c r="G10" s="9" t="s">
        <v>358</v>
      </c>
    </row>
    <row r="11" customFormat="false" ht="15" hidden="false" customHeight="false" outlineLevel="0" collapsed="false">
      <c r="A11" s="7" t="s">
        <v>359</v>
      </c>
      <c r="B11" s="39" t="n">
        <f aca="false">B5*12</f>
        <v>240</v>
      </c>
      <c r="C11" s="8" t="n">
        <f aca="false">Supuestos!$B$68</f>
        <v>75</v>
      </c>
      <c r="D11" s="36" t="n">
        <f aca="false">B11*C11</f>
        <v>18000</v>
      </c>
      <c r="E11" s="36" t="n">
        <f aca="false">B11*'Opex &amp; servicio'!B9</f>
        <v>5040</v>
      </c>
      <c r="F11" s="34" t="n">
        <f aca="false">IF(D11=0,0,1-E11/D11)</f>
        <v>0.72</v>
      </c>
      <c r="G11" s="9" t="s">
        <v>360</v>
      </c>
    </row>
    <row r="12" customFormat="false" ht="15" hidden="false" customHeight="false" outlineLevel="0" collapsed="false">
      <c r="A12" s="10" t="s">
        <v>361</v>
      </c>
      <c r="D12" s="37" t="n">
        <f aca="false">SUM(D5:D11)</f>
        <v>78947</v>
      </c>
      <c r="E12" s="37" t="n">
        <f aca="false">SUM(E5:E11)</f>
        <v>32839.0741817085</v>
      </c>
      <c r="F12" s="40" t="n">
        <f aca="false">IF(D12=0,0,1-E12/D12)</f>
        <v>0.584036452535137</v>
      </c>
    </row>
    <row r="13" customFormat="false" ht="15" hidden="false" customHeight="false" outlineLevel="0" collapsed="false">
      <c r="A13" s="7" t="s">
        <v>362</v>
      </c>
      <c r="D13" s="36" t="n">
        <f aca="false">SUM(D5:D8)</f>
        <v>45500</v>
      </c>
      <c r="E13" s="36" t="n">
        <f aca="false">SUM(E5:E8)</f>
        <v>18694.0741817085</v>
      </c>
      <c r="F13" s="34" t="n">
        <f aca="false">IF(D13=0,0,1-E13/D13)</f>
        <v>0.589141226775637</v>
      </c>
    </row>
    <row r="14" customFormat="false" ht="15" hidden="false" customHeight="false" outlineLevel="0" collapsed="false">
      <c r="A14" s="7" t="s">
        <v>363</v>
      </c>
      <c r="D14" s="36" t="n">
        <f aca="false">D12/B5</f>
        <v>3947.35</v>
      </c>
    </row>
    <row r="16" customFormat="false" ht="15" hidden="false" customHeight="false" outlineLevel="0" collapsed="false">
      <c r="A16" s="12" t="s">
        <v>364</v>
      </c>
    </row>
    <row r="17" customFormat="false" ht="15" hidden="false" customHeight="false" outlineLevel="0" collapsed="false">
      <c r="A17" s="7" t="s">
        <v>365</v>
      </c>
      <c r="D17" s="36" t="n">
        <f aca="false">Supuestos!$B$53*SUM(D5:D8)</f>
        <v>3640</v>
      </c>
    </row>
    <row r="18" customFormat="false" ht="15" hidden="false" customHeight="false" outlineLevel="0" collapsed="false">
      <c r="A18" s="7" t="s">
        <v>366</v>
      </c>
      <c r="D18" s="36" t="n">
        <f aca="false">Supuestos!$B$54*(SUM(D5:D8)+D17)</f>
        <v>8845.2</v>
      </c>
    </row>
    <row r="19" customFormat="false" ht="15" hidden="false" customHeight="false" outlineLevel="0" collapsed="false">
      <c r="A19" s="12" t="s">
        <v>367</v>
      </c>
      <c r="D19" s="41" t="n">
        <f aca="false">D17+D18</f>
        <v>12485.2</v>
      </c>
    </row>
    <row r="21" customFormat="false" ht="15" hidden="false" customHeight="false" outlineLevel="0" collapsed="false">
      <c r="A21" s="9" t="s">
        <v>368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0"/>
  </cols>
  <sheetData>
    <row r="1" customFormat="false" ht="17.35" hidden="false" customHeight="false" outlineLevel="0" collapsed="false">
      <c r="A1" s="1" t="s">
        <v>369</v>
      </c>
    </row>
    <row r="3" customFormat="false" ht="15" hidden="false" customHeight="false" outlineLevel="0" collapsed="false">
      <c r="A3" s="4" t="s">
        <v>370</v>
      </c>
      <c r="B3" s="4" t="s">
        <v>371</v>
      </c>
    </row>
    <row r="4" customFormat="false" ht="48" hidden="false" customHeight="true" outlineLevel="0" collapsed="false">
      <c r="A4" s="12" t="s">
        <v>372</v>
      </c>
      <c r="B4" s="42" t="s">
        <v>373</v>
      </c>
    </row>
    <row r="5" customFormat="false" ht="48" hidden="false" customHeight="true" outlineLevel="0" collapsed="false">
      <c r="A5" s="12" t="s">
        <v>374</v>
      </c>
      <c r="B5" s="42" t="s">
        <v>375</v>
      </c>
    </row>
    <row r="6" customFormat="false" ht="48" hidden="false" customHeight="true" outlineLevel="0" collapsed="false">
      <c r="A6" s="12" t="s">
        <v>376</v>
      </c>
      <c r="B6" s="42" t="s">
        <v>377</v>
      </c>
    </row>
    <row r="7" customFormat="false" ht="48" hidden="false" customHeight="true" outlineLevel="0" collapsed="false">
      <c r="A7" s="12" t="s">
        <v>378</v>
      </c>
      <c r="B7" s="42" t="s">
        <v>379</v>
      </c>
    </row>
    <row r="8" customFormat="false" ht="48" hidden="false" customHeight="true" outlineLevel="0" collapsed="false">
      <c r="A8" s="12" t="s">
        <v>380</v>
      </c>
      <c r="B8" s="42" t="s">
        <v>381</v>
      </c>
    </row>
    <row r="9" customFormat="false" ht="48" hidden="false" customHeight="true" outlineLevel="0" collapsed="false">
      <c r="A9" s="12" t="s">
        <v>382</v>
      </c>
      <c r="B9" s="42" t="s">
        <v>383</v>
      </c>
    </row>
    <row r="10" customFormat="false" ht="48" hidden="false" customHeight="true" outlineLevel="0" collapsed="false">
      <c r="A10" s="12" t="s">
        <v>47</v>
      </c>
      <c r="B10" s="42" t="s">
        <v>384</v>
      </c>
    </row>
    <row r="11" customFormat="false" ht="48" hidden="false" customHeight="true" outlineLevel="0" collapsed="false">
      <c r="A11" s="12" t="s">
        <v>385</v>
      </c>
      <c r="B11" s="42" t="s">
        <v>386</v>
      </c>
    </row>
    <row r="12" customFormat="false" ht="48" hidden="false" customHeight="true" outlineLevel="0" collapsed="false">
      <c r="A12" s="12" t="s">
        <v>387</v>
      </c>
      <c r="B12" s="42" t="s">
        <v>388</v>
      </c>
    </row>
    <row r="13" customFormat="false" ht="48" hidden="false" customHeight="true" outlineLevel="0" collapsed="false">
      <c r="A13" s="12" t="s">
        <v>389</v>
      </c>
      <c r="B13" s="42" t="s">
        <v>390</v>
      </c>
    </row>
    <row r="14" customFormat="false" ht="48" hidden="false" customHeight="true" outlineLevel="0" collapsed="false">
      <c r="A14" s="12" t="s">
        <v>391</v>
      </c>
      <c r="B14" s="42" t="s">
        <v>392</v>
      </c>
    </row>
    <row r="15" customFormat="false" ht="48" hidden="false" customHeight="true" outlineLevel="0" collapsed="false">
      <c r="A15" s="12" t="s">
        <v>393</v>
      </c>
      <c r="B15" s="42" t="s">
        <v>394</v>
      </c>
    </row>
    <row r="16" customFormat="false" ht="48" hidden="false" customHeight="true" outlineLevel="0" collapsed="false">
      <c r="A16" s="12" t="s">
        <v>395</v>
      </c>
      <c r="B16" s="42" t="s">
        <v>396</v>
      </c>
    </row>
    <row r="17" customFormat="false" ht="48" hidden="false" customHeight="true" outlineLevel="0" collapsed="false">
      <c r="A17" s="12" t="s">
        <v>397</v>
      </c>
      <c r="B17" s="42" t="s">
        <v>398</v>
      </c>
    </row>
    <row r="18" customFormat="false" ht="48" hidden="false" customHeight="true" outlineLevel="0" collapsed="false">
      <c r="A18" s="12" t="s">
        <v>399</v>
      </c>
      <c r="B18" s="42" t="s">
        <v>400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2026-10-15T17:02:33Z</dcterms:created>
  <dc:creator>openpyxl</dc:creator>
  <dc:description/>
  <dc:language>en-US</dc:language>
  <cp:lastModifiedBy/>
  <dcterms:modified xsi:type="dcterms:W3CDTF">2026-10-15T17:02:33Z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