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_rels/sheet7.xml.rels" ContentType="application/vnd.openxmlformats-package.relationships+xml"/>
  <Override PartName="/xl/worksheets/_rels/sheet6.xml.rels" ContentType="application/vnd.openxmlformats-package.relationships+xml"/>
  <Override PartName="/xl/worksheets/_rels/sheet5.xml.rels" ContentType="application/vnd.openxmlformats-package.relationships+xml"/>
  <Override PartName="/xl/worksheets/sheet8.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Resumen" sheetId="1" state="visible" r:id="rId3"/>
    <sheet name="Supuestos" sheetId="2" state="visible" r:id="rId4"/>
    <sheet name="Ensamble" sheetId="3" state="visible" r:id="rId5"/>
    <sheet name="Envio" sheetId="4" state="visible" r:id="rId6"/>
    <sheet name="BOM_V56" sheetId="5" state="visible" r:id="rId7"/>
    <sheet name="BOM_V57" sheetId="6" state="visible" r:id="rId8"/>
    <sheet name="BOM_v6" sheetId="7" state="visible" r:id="rId9"/>
    <sheet name="Faltantes" sheetId="8" state="visible" r:id="rId10"/>
  </sheets>
  <definedNames>
    <definedName function="false" hidden="true" localSheetId="4" name="_xlnm._FilterDatabase" vbProcedure="false">BOM_V56!$A$4:$U$100</definedName>
    <definedName function="false" hidden="true" localSheetId="5" name="_xlnm._FilterDatabase" vbProcedure="false">BOM_V57!$A$4:$U$109</definedName>
    <definedName function="false" hidden="true" localSheetId="6" name="_xlnm._FilterDatabase" vbProcedure="false">BOM_v6!$A$4:$U$130</definedName>
  </definedName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<sst xmlns="http://schemas.openxmlformats.org/spreadsheetml/2006/main" count="2635" uniqueCount="893">
  <si>
    <t xml:space="preserve">Costo de fabricación e importación — EinarBoard V5.6 · V5.7 · v6 (JLCPCB)</t>
  </si>
  <si>
    <t xml:space="preserve">Tres pedidos separados colocados el mismo día · precios JLC del 26-oct-2026 · tipo de cambio y supuestos en la hoja Supuestos.</t>
  </si>
  <si>
    <t xml:space="preserve">Concepto</t>
  </si>
  <si>
    <t xml:space="preserve">V5.6</t>
  </si>
  <si>
    <t xml:space="preserve">V5.7</t>
  </si>
  <si>
    <t xml:space="preserve">v6</t>
  </si>
  <si>
    <t xml:space="preserve">Total</t>
  </si>
  <si>
    <t xml:space="preserve">Nota</t>
  </si>
  <si>
    <t xml:space="preserve">Tarjetas ensambladas</t>
  </si>
  <si>
    <t xml:space="preserve">1 · Pago a JLCPCB (USD)</t>
  </si>
  <si>
    <t xml:space="preserve">Componentes</t>
  </si>
  <si>
    <t xml:space="preserve">Hojas BOM: precio JLC por escalón × cantidad con merma; piezas faltantes con sobreprecio.</t>
  </si>
  <si>
    <t xml:space="preserve">Contingencia de precio en componentes</t>
  </si>
  <si>
    <t xml:space="preserve">0% por omisión (Supuestos).</t>
  </si>
  <si>
    <t xml:space="preserve">PCB desnuda (4 capas, ENIG, vías tapadas)</t>
  </si>
  <si>
    <t xml:space="preserve">Cotización JLC del 26-oct (150 / 400 / 75 PCB).</t>
  </si>
  <si>
    <t xml:space="preserve">Ensamble (setup, SMT, THT, alimentadores, rayos X…)</t>
  </si>
  <si>
    <t xml:space="preserve">Hoja Ensamble.</t>
  </si>
  <si>
    <t xml:space="preserve">Subtotal fabricación</t>
  </si>
  <si>
    <t xml:space="preserve">Envío UPS Worldwide Express Saver</t>
  </si>
  <si>
    <t xml:space="preserve">Hoja Envio (DHL costaría ≈ 1.7× más).</t>
  </si>
  <si>
    <t xml:space="preserve">Total a pagar a JLCPCB</t>
  </si>
  <si>
    <t xml:space="preserve">2 · Importación con pedimento A1 a nombre de Helgen (MXN)</t>
  </si>
  <si>
    <t xml:space="preserve">Valor en aduana (USD)</t>
  </si>
  <si>
    <t xml:space="preserve">Mercancía + flete (+ seguro). Los tres pedidos superan US$2,500: no aplica el despacho simplificado de mensajería (tasa global 33.5%, IVA no acreditable).</t>
  </si>
  <si>
    <t xml:space="preserve">Valor en aduana (MXN)</t>
  </si>
  <si>
    <t xml:space="preserve">IGI</t>
  </si>
  <si>
    <t xml:space="preserve">0% (exento). Sensibilidad v6 al 5%: cambia la tasa en Supuestos.</t>
  </si>
  <si>
    <t xml:space="preserve">DTA</t>
  </si>
  <si>
    <t xml:space="preserve">Prevalidación</t>
  </si>
  <si>
    <t xml:space="preserve">Agente aduanal: honorarios + gastos</t>
  </si>
  <si>
    <t xml:space="preserve">Supuesto; pedir cotización a Grupo Lorenzo (patente 3927).</t>
  </si>
  <si>
    <t xml:space="preserve">Manejo del courier</t>
  </si>
  <si>
    <t xml:space="preserve">Costo de importación sin IVA</t>
  </si>
  <si>
    <t xml:space="preserve">IVA (acreditable: flujo de efectivo, no costo)</t>
  </si>
  <si>
    <t xml:space="preserve">16% de (valor en aduana + IGI + DTA) + IVA de prevalidación y honorarios.</t>
  </si>
  <si>
    <t xml:space="preserve">3 · Totales</t>
  </si>
  <si>
    <t xml:space="preserve">Costo aterrizado sin IVA (MXN)</t>
  </si>
  <si>
    <t xml:space="preserve">Costo aterrizado sin IVA (USD)</t>
  </si>
  <si>
    <t xml:space="preserve">Desembolso total con IVA (MXN)</t>
  </si>
  <si>
    <t xml:space="preserve">Lo que sale de la cuenta; el IVA se recupera vía acreditamiento.</t>
  </si>
  <si>
    <t xml:space="preserve">4 · Por tarjeta</t>
  </si>
  <si>
    <t xml:space="preserve">Fabricación JLC por tarjeta, sin envío (USD)</t>
  </si>
  <si>
    <t xml:space="preserve">Aterrizado por tarjeta sin IVA (USD)</t>
  </si>
  <si>
    <t xml:space="preserve">Columna Total = promedio ponderado de las 560 tarjetas.</t>
  </si>
  <si>
    <t xml:space="preserve">Aterrizado por tarjeta sin IVA (MXN)</t>
  </si>
  <si>
    <t xml:space="preserve">Desembolso por tarjeta con IVA (MXN)</t>
  </si>
  <si>
    <t xml:space="preserve">5 · Composición por tarjeta (USD)</t>
  </si>
  <si>
    <t xml:space="preserve">Componentes (incl. contingencia)</t>
  </si>
  <si>
    <t xml:space="preserve">PCB desnuda</t>
  </si>
  <si>
    <t xml:space="preserve">Ensamble</t>
  </si>
  <si>
    <t xml:space="preserve">Envío</t>
  </si>
  <si>
    <t xml:space="preserve">Importación sin IVA</t>
  </si>
  <si>
    <t xml:space="preserve">Notas</t>
  </si>
  <si>
    <t xml:space="preserve">• Qué NO incluye: módulos ArduSimple de las V5.x (simpleRTK2B Pro y 4G NTRIP Master, MOD1/J8-J9 son zócalos), antenas, gabinete HBOX, arnés, batería, programación y prueba en banco, ni comisiones bancarias por pagar en USD.</t>
  </si>
  <si>
    <t xml:space="preserve">• Riesgo de suministro: 12 piezas no tienen existencia suficiente en JLC para los tres pedidos juntos, incluido el STM32F411RET6 (2 pzas en JLC hoy) y el AP64350 (1 pza). Ver hoja Faltantes: definirlas antes de pagar.</t>
  </si>
  <si>
    <t xml:space="preserve">• La v6 se costeó con el PCB del 26-oct (sin paquete de fabricación todavía); su BOM puede moverse cuando cierre el layout.</t>
  </si>
  <si>
    <t xml:space="preserve">• Precios del 26-oct-2026: JLC actualiza a diario; varias piezas subieron 15-20% desde el 1-ago. Re-cotizar el día del pago.</t>
  </si>
  <si>
    <t xml:space="preserve">Supuestos del costeo — pedido JLCPCB V5.6 / V5.7 / v6</t>
  </si>
  <si>
    <t xml:space="preserve">Texto azul = dato que puedes cambiar · fondo amarillo = supuesto clave · todo lo demás se calcula. Precios JLC y tarifas consultados el 26-oct-2026.</t>
  </si>
  <si>
    <t xml:space="preserve">Parámetro por pedido</t>
  </si>
  <si>
    <t xml:space="preserve">Unidad</t>
  </si>
  <si>
    <t xml:space="preserve">Fuente / nota</t>
  </si>
  <si>
    <t xml:space="preserve">Tarjetas a ensamblar (PCBA)</t>
  </si>
  <si>
    <t xml:space="preserve">pzas</t>
  </si>
  <si>
    <t xml:space="preserve">Pedido de Leo, 26-oct-2026: tres pedidos separados, colocados el mismo día.</t>
  </si>
  <si>
    <t xml:space="preserve">Tarjetas desnudas a fabricar (PCB)</t>
  </si>
  <si>
    <t xml:space="preserve">JLC solo acepta cantidades fijas de PCB (…75, 100, 125, 150, …, 350, 400…). Las sobrantes llegan sin ensamblar (refacción).</t>
  </si>
  <si>
    <t xml:space="preserve">Costo PCB desnuda (cotización JLC)</t>
  </si>
  <si>
    <t xml:space="preserve">USD</t>
  </si>
  <si>
    <t xml:space="preserve">cart.jlcpcb.com/quote, 26-oct-2026: 4 capas, 140×100 mm, 1.6 mm, FR4 TG135, stackup JLC04161H-7628, ENIG, vías Epoxy Filled &amp; Capped (+ Horizontal Electroless Copper Plating), prueba eléctrica flying probe, Confirm Production file = Sí, 5-6 días. Si cambias la cantidad de PCB, vuelve a cotizar.</t>
  </si>
  <si>
    <t xml:space="preserve">Piezas con rayos X por tarjeta</t>
  </si>
  <si>
    <t xml:space="preserve">JLC marca rayos X obligatorio en SC7A20 (V5.x) y en ZED-F9P, A7670SA, SC7A20 (v6). Se suma el LTC4040 por la condición P-2 de la auditoría final del 22-oct.</t>
  </si>
  <si>
    <t xml:space="preserve">Peso PCBA por tarjeta con empaque</t>
  </si>
  <si>
    <t xml:space="preserve">kg</t>
  </si>
  <si>
    <t xml:space="preserve">JLC estima 49 g por tarjeta desnuda empacada; los componentes (RJ45, clemas, USB-C, relevador, inductores) suman ≈ 40-45 g; bolsa ESD + espuma ≈ 6 g. Estimado; JLC da el peso real al pagar.</t>
  </si>
  <si>
    <t xml:space="preserve">Tasa IGI</t>
  </si>
  <si>
    <t xml:space="preserve">%</t>
  </si>
  <si>
    <t xml:space="preserve">Fracciones probables 8537.10.99 / 8543.90.01 / 8517.79.04: exentas para origen China en la TIGIE 2026 (no tocadas por los decretos del 29-dic-2025 ni del 23-abr-2026). Sensibilidad v6: si aduana la clasifica como equipo GNSS completo (8526.91.99) paga 5%. Confirmar con el agente aduanal.</t>
  </si>
  <si>
    <t xml:space="preserve">Parámetro general</t>
  </si>
  <si>
    <t xml:space="preserve">Valor</t>
  </si>
  <si>
    <t xml:space="preserve">Tipo de cambio</t>
  </si>
  <si>
    <t xml:space="preserve">MXN/USD</t>
  </si>
  <si>
    <t xml:space="preserve">FIX Banxico 23-oct-2026 = 18.667; redondeado. El pedimento usa el tipo de cambio del DOF del día anterior al pago.</t>
  </si>
  <si>
    <t xml:space="preserve">Sobreprecio a piezas sin existencia en JLC</t>
  </si>
  <si>
    <t xml:space="preserve">Supuesto: compra por Global Sourcing / pre-orden. Aplica solo a las piezas cuya demanda de los tres pedidos supera la existencia de JLC (hoja Faltantes).</t>
  </si>
  <si>
    <t xml:space="preserve">0% = réplica de la cotización de hoy. Varias piezas subieron 15-20% desde el 1-ago (LTC4040, SC16IS752); para presupuesto conviene 5%.</t>
  </si>
  <si>
    <t xml:space="preserve">Merma pasivos (% de la necesidad)</t>
  </si>
  <si>
    <t xml:space="preserve">Modelo de merma de JLC; en el pedido V5.5 de 15 pzas JLC agregó +10 en pasivos 0603.</t>
  </si>
  <si>
    <t xml:space="preserve">Merma pasivos (piezas fijas por línea)</t>
  </si>
  <si>
    <t xml:space="preserve">Merma otros (% de la necesidad)</t>
  </si>
  <si>
    <t xml:space="preserve">Merma otros (piezas fijas por línea)</t>
  </si>
  <si>
    <t xml:space="preserve">Factor de cartón sobre el peso</t>
  </si>
  <si>
    <t xml:space="preserve">×</t>
  </si>
  <si>
    <t xml:space="preserve">Cajas y relleno de envío. Supuesto.</t>
  </si>
  <si>
    <t xml:space="preserve">Seguro (% del valor)</t>
  </si>
  <si>
    <t xml:space="preserve">JLC no incluye seguro; si se contrata, entra al valor en aduana.</t>
  </si>
  <si>
    <t xml:space="preserve">DTA (derecho de trámite aduanero)</t>
  </si>
  <si>
    <t xml:space="preserve">Ley Federal de Derechos art. 49 fr. I: 8 al millar del valor en aduana; sin cambios en la reforma 2026.</t>
  </si>
  <si>
    <t xml:space="preserve">DTA mínimo</t>
  </si>
  <si>
    <t xml:space="preserve">MXN</t>
  </si>
  <si>
    <t xml:space="preserve">Cuota fija mínima ≈ MX$462 (2026).</t>
  </si>
  <si>
    <t xml:space="preserve">Prevalidación por pedimento</t>
  </si>
  <si>
    <t xml:space="preserve">RGCE 2026, regla 1.8.3 (antes MX$310).</t>
  </si>
  <si>
    <t xml:space="preserve">IVA</t>
  </si>
  <si>
    <t xml:space="preserve">Ley del IVA art. 27: base = valor en aduana + IGI + DTA. Acreditable si el pedimento sale a nombre de Helgen.</t>
  </si>
  <si>
    <t xml:space="preserve">Agente aduanal: honorarios + gastos por pedimento</t>
  </si>
  <si>
    <t xml:space="preserve">Supuesto (rango de mercado MX$2,500-8,000 por pedimento). Helgen ya trabaja con AA Claudia Juana Abuin Salgado, patente 3927 (Grupo Lorenzo, Mercedes Villarreal): pedir cotización real.</t>
  </si>
  <si>
    <t xml:space="preserve">Manejo del courier en despacho formal</t>
  </si>
  <si>
    <t xml:space="preserve">Cargo del courier por entregar el envío al agente / pedimento formal (DHL publica US$49; UPS no publica tabla). Supuesto.</t>
  </si>
  <si>
    <t xml:space="preserve">Cargos de ensamble JLCPCB (Standard PCBA, una cara)</t>
  </si>
  <si>
    <t xml:space="preserve">Tarifas: jlcpcb.com/help/article/pcb-assembly-price (actualizada 22-oct-2026). Los escalones de SMT y THT se aplican de forma marginal (conservador).</t>
  </si>
  <si>
    <t xml:space="preserve">Cálculo</t>
  </si>
  <si>
    <t xml:space="preserve">Tarjetas a ensamblar</t>
  </si>
  <si>
    <t xml:space="preserve">Supuestos</t>
  </si>
  <si>
    <t xml:space="preserve">Uniones SMT por pedido</t>
  </si>
  <si>
    <t xml:space="preserve">Σ (cant./tarjeta × pads SMD) × tarjetas</t>
  </si>
  <si>
    <t xml:space="preserve">Uniones THT por pedido</t>
  </si>
  <si>
    <t xml:space="preserve">Σ (cant./tarjeta × pads THT) × tarjetas</t>
  </si>
  <si>
    <t xml:space="preserve">Partes únicas (líneas de BOM)</t>
  </si>
  <si>
    <t xml:space="preserve">Cada línea carga un alimentador</t>
  </si>
  <si>
    <t xml:space="preserve">Piezas a rayos X</t>
  </si>
  <si>
    <t xml:space="preserve">Supuestos: piezas con rayos X por tarjeta × tarjetas</t>
  </si>
  <si>
    <t xml:space="preserve">Cargos (USD)</t>
  </si>
  <si>
    <t xml:space="preserve">Setup</t>
  </si>
  <si>
    <t xml:space="preserve">Esténcil</t>
  </si>
  <si>
    <t xml:space="preserve">Ensamble SMT</t>
  </si>
  <si>
    <t xml:space="preserve">Ensamble manual (THT)</t>
  </si>
  <si>
    <t xml:space="preserve">Mano de obra soldadura manual</t>
  </si>
  <si>
    <t xml:space="preserve">Carga de alimentadores</t>
  </si>
  <si>
    <t xml:space="preserve">Inspección rayos X</t>
  </si>
  <si>
    <t xml:space="preserve">Fixture</t>
  </si>
  <si>
    <t xml:space="preserve">Empaque</t>
  </si>
  <si>
    <t xml:space="preserve">Confirmar colocación</t>
  </si>
  <si>
    <t xml:space="preserve">Total ensamble (USD)</t>
  </si>
  <si>
    <t xml:space="preserve">Por tarjeta (USD)</t>
  </si>
  <si>
    <t xml:space="preserve">Tarifas JLC (Standard PCBA)</t>
  </si>
  <si>
    <t xml:space="preserve">Setup (una cara)</t>
  </si>
  <si>
    <t xml:space="preserve">Esténcil (una cara)</t>
  </si>
  <si>
    <t xml:space="preserve">SMT hasta 50,000 uniones</t>
  </si>
  <si>
    <t xml:space="preserve">SMT 50,001-100,000</t>
  </si>
  <si>
    <t xml:space="preserve">SMT &gt; 100,000</t>
  </si>
  <si>
    <t xml:space="preserve">Manual hasta 10,000 uniones</t>
  </si>
  <si>
    <t xml:space="preserve">Manual 10,001-30,000</t>
  </si>
  <si>
    <t xml:space="preserve">Manual &gt; 30,000</t>
  </si>
  <si>
    <t xml:space="preserve">Mano de obra soldadura manual (por pedido)</t>
  </si>
  <si>
    <t xml:space="preserve">Carga de alimentador por parte única</t>
  </si>
  <si>
    <t xml:space="preserve">Empaque fijo (por pedido)</t>
  </si>
  <si>
    <t xml:space="preserve">Empaque por cm² de PCB</t>
  </si>
  <si>
    <t xml:space="preserve">Área de la tarjeta (cm²)</t>
  </si>
  <si>
    <t xml:space="preserve">Confirmar colocación (por pedido)</t>
  </si>
  <si>
    <t xml:space="preserve">Rayos X: desde (pzas) → USD/pza</t>
  </si>
  <si>
    <t xml:space="preserve">Fixture: desde (tarjetas) → USD/pedido</t>
  </si>
  <si>
    <t xml:space="preserve">El cargo de fixture viene en la tabla de JLC para Standard PCBA rígido; se incluye por prudencia.</t>
  </si>
  <si>
    <t xml:space="preserve">Envío JLCPCB → Querétaro</t>
  </si>
  <si>
    <t xml:space="preserve">Tarifas que muestra JLC para México (cotizador cart.jlcpcb.com, 26-oct-2026). Para México no hay opción DDP: impuestos y despacho van por cuenta de Helgen.</t>
  </si>
  <si>
    <t xml:space="preserve">Peso cotizado (kg)</t>
  </si>
  <si>
    <t xml:space="preserve">UPS Worldwide Express Saver (4-6 días)</t>
  </si>
  <si>
    <t xml:space="preserve">DHL Express (3-5 días)</t>
  </si>
  <si>
    <t xml:space="preserve">FedEx Express (5-8 días)</t>
  </si>
  <si>
    <t xml:space="preserve">Puntos leídos del cotizador (PCB desnuda de 125/250/400/800 pzas). Entre puntos se interpola en línea recta.</t>
  </si>
  <si>
    <t xml:space="preserve">Por pedido</t>
  </si>
  <si>
    <t xml:space="preserve">Tarjetas</t>
  </si>
  <si>
    <t xml:space="preserve">Peso estimado del envío (kg)</t>
  </si>
  <si>
    <t xml:space="preserve">Tarjetas × peso por tarjeta × factor de cartón (Supuestos).</t>
  </si>
  <si>
    <t xml:space="preserve">UPS Worldwide Express Saver (USD) — se usa en el resumen</t>
  </si>
  <si>
    <t xml:space="preserve">UPS es la más barata y es la que ya usaron los pedidos de agosto/septiembre.</t>
  </si>
  <si>
    <t xml:space="preserve">DHL Express (USD) — referencia</t>
  </si>
  <si>
    <t xml:space="preserve">FedEx Express (USD) — referencia</t>
  </si>
  <si>
    <t xml:space="preserve">BOM V5.6 — partes colocadas por JLC (sin DNP ni MOD1)</t>
  </si>
  <si>
    <t xml:space="preserve">Fuente: paquete de fabricación production/HBOX_v5_Rev6_PROD (= PCB, 226 piezas). Precio = escalón de JLC para la cantidad a pedir, leído de jlcpcb.com/partdetail el 26-oct-2026; si cambias la cantidad de tarjetas, el escalón puede cambiar.</t>
  </si>
  <si>
    <t xml:space="preserve">Designadores</t>
  </si>
  <si>
    <t xml:space="preserve">LCSC</t>
  </si>
  <si>
    <t xml:space="preserve">MPN</t>
  </si>
  <si>
    <t xml:space="preserve">Fabricante</t>
  </si>
  <si>
    <t xml:space="preserve">Encapsulado</t>
  </si>
  <si>
    <t xml:space="preserve">Tipo JLC</t>
  </si>
  <si>
    <t xml:space="preserve">THT</t>
  </si>
  <si>
    <t xml:space="preserve">Pads SMD</t>
  </si>
  <si>
    <t xml:space="preserve">Pads THT</t>
  </si>
  <si>
    <t xml:space="preserve">Cant./tarjeta</t>
  </si>
  <si>
    <t xml:space="preserve">Necesidad</t>
  </si>
  <si>
    <t xml:space="preserve">Merma</t>
  </si>
  <si>
    <t xml:space="preserve">Cantidad a pedir</t>
  </si>
  <si>
    <t xml:space="preserve">Precio unit. JLC (USD)</t>
  </si>
  <si>
    <t xml:space="preserve">Existencia JLC 26-oct</t>
  </si>
  <si>
    <t xml:space="preserve">Demanda 3 pedidos</t>
  </si>
  <si>
    <t xml:space="preserve">¿Falta?</t>
  </si>
  <si>
    <t xml:space="preserve">Precio efectivo (USD)</t>
  </si>
  <si>
    <t xml:space="preserve">Importe (USD)</t>
  </si>
  <si>
    <t xml:space="preserve">Rayos X JLC</t>
  </si>
  <si>
    <t xml:space="preserve">Categoría</t>
  </si>
  <si>
    <t xml:space="preserve">U3</t>
  </si>
  <si>
    <t xml:space="preserve">C94355</t>
  </si>
  <si>
    <t xml:space="preserve">STM32F411RET6</t>
  </si>
  <si>
    <t xml:space="preserve">STMicroelectronics</t>
  </si>
  <si>
    <t xml:space="preserve">LQFP-64(10x10)</t>
  </si>
  <si>
    <t xml:space="preserve">Extended</t>
  </si>
  <si>
    <t xml:space="preserve">Embedded Processors &amp; Controllers</t>
  </si>
  <si>
    <t xml:space="preserve">U14</t>
  </si>
  <si>
    <t xml:space="preserve">C687163</t>
  </si>
  <si>
    <t xml:space="preserve">LTC4040EUFD#TRPBF</t>
  </si>
  <si>
    <t xml:space="preserve">Analog Devices</t>
  </si>
  <si>
    <t xml:space="preserve">VQFN-24-EP(4x5)</t>
  </si>
  <si>
    <t xml:space="preserve">Power Supply Chip</t>
  </si>
  <si>
    <t xml:space="preserve">U5</t>
  </si>
  <si>
    <t xml:space="preserve">C57156</t>
  </si>
  <si>
    <t xml:space="preserve">SC16IS752IPW,128</t>
  </si>
  <si>
    <t xml:space="preserve">NXP Semicon</t>
  </si>
  <si>
    <t xml:space="preserve">TSSOP-28</t>
  </si>
  <si>
    <t xml:space="preserve">Interface ICs</t>
  </si>
  <si>
    <t xml:space="preserve">U15 U9</t>
  </si>
  <si>
    <t xml:space="preserve">C15051</t>
  </si>
  <si>
    <t xml:space="preserve">MP1584EN-LF-Z</t>
  </si>
  <si>
    <t xml:space="preserve">Monolithic Power Systems</t>
  </si>
  <si>
    <t xml:space="preserve">SOIC-8-EP</t>
  </si>
  <si>
    <t xml:space="preserve">Power Management ICs</t>
  </si>
  <si>
    <t xml:space="preserve">U2</t>
  </si>
  <si>
    <t xml:space="preserve">C32843</t>
  </si>
  <si>
    <t xml:space="preserve">W5500</t>
  </si>
  <si>
    <t xml:space="preserve">WIZNET</t>
  </si>
  <si>
    <t xml:space="preserve">LQFP-48(7x7)</t>
  </si>
  <si>
    <t xml:space="preserve">J13 J7</t>
  </si>
  <si>
    <t xml:space="preserve">C7095263</t>
  </si>
  <si>
    <t xml:space="preserve">USB4085-GF-A</t>
  </si>
  <si>
    <t xml:space="preserve">GCT</t>
  </si>
  <si>
    <t xml:space="preserve">插件</t>
  </si>
  <si>
    <t xml:space="preserve">Others</t>
  </si>
  <si>
    <t xml:space="preserve">U13</t>
  </si>
  <si>
    <t xml:space="preserve">C2071691</t>
  </si>
  <si>
    <t xml:space="preserve">AP64350SP-13</t>
  </si>
  <si>
    <t xml:space="preserve">Diodes Incorporated</t>
  </si>
  <si>
    <t xml:space="preserve">SO-8-EP</t>
  </si>
  <si>
    <t xml:space="preserve">C31 C43 C47 C48 C60 C64 C65 C69 C7 C8</t>
  </si>
  <si>
    <t xml:space="preserve">C45783</t>
  </si>
  <si>
    <t xml:space="preserve">CL21A226MAQNNNE</t>
  </si>
  <si>
    <t xml:space="preserve">Samsung Electro-Mechanics</t>
  </si>
  <si>
    <t xml:space="preserve">0805</t>
  </si>
  <si>
    <t xml:space="preserve">Basic</t>
  </si>
  <si>
    <t xml:space="preserve">Capacitors</t>
  </si>
  <si>
    <t xml:space="preserve">U11</t>
  </si>
  <si>
    <t xml:space="preserve">C7605</t>
  </si>
  <si>
    <t xml:space="preserve">PCF8574T/3,518</t>
  </si>
  <si>
    <t xml:space="preserve">SOIC-16-300mil</t>
  </si>
  <si>
    <t xml:space="preserve">U6</t>
  </si>
  <si>
    <t xml:space="preserve">C2848306</t>
  </si>
  <si>
    <t xml:space="preserve">SHT40-AD1B-R3</t>
  </si>
  <si>
    <t xml:space="preserve">SENSIRION AG</t>
  </si>
  <si>
    <t xml:space="preserve">DFN-4-EP(1.5x1.5)</t>
  </si>
  <si>
    <t xml:space="preserve">Global Sourcing Parts</t>
  </si>
  <si>
    <t xml:space="preserve">J6</t>
  </si>
  <si>
    <t xml:space="preserve">C12074</t>
  </si>
  <si>
    <t xml:space="preserve">HR911105A</t>
  </si>
  <si>
    <t xml:space="preserve">HANRUN(Zhongshan HanRun Elec)</t>
  </si>
  <si>
    <t xml:space="preserve">Connectors</t>
  </si>
  <si>
    <t xml:space="preserve">U12 U8</t>
  </si>
  <si>
    <t xml:space="preserve">C99269</t>
  </si>
  <si>
    <t xml:space="preserve">TMP102AIDRLR</t>
  </si>
  <si>
    <t xml:space="preserve">Texas Instruments</t>
  </si>
  <si>
    <t xml:space="preserve">SOT-563</t>
  </si>
  <si>
    <t xml:space="preserve">Sensors</t>
  </si>
  <si>
    <t xml:space="preserve">C12 C2 C36 C5 C66</t>
  </si>
  <si>
    <t xml:space="preserve">C440198</t>
  </si>
  <si>
    <t xml:space="preserve">GRM21BR61H106KE43L</t>
  </si>
  <si>
    <t xml:space="preserve">Murata Electronics</t>
  </si>
  <si>
    <t xml:space="preserve">K1</t>
  </si>
  <si>
    <t xml:space="preserve">C28695</t>
  </si>
  <si>
    <t xml:space="preserve">G5V-1 DC5</t>
  </si>
  <si>
    <t xml:space="preserve">Omron Electronics</t>
  </si>
  <si>
    <t xml:space="preserve">DIP,12.5x7.5mm</t>
  </si>
  <si>
    <t xml:space="preserve">Relays</t>
  </si>
  <si>
    <t xml:space="preserve">C14 C30 C68</t>
  </si>
  <si>
    <t xml:space="preserve">C881921</t>
  </si>
  <si>
    <t xml:space="preserve">OVZ221M1CTR-0608</t>
  </si>
  <si>
    <t xml:space="preserve">Lelon</t>
  </si>
  <si>
    <t xml:space="preserve">SMD,6.3x7.7mm</t>
  </si>
  <si>
    <t xml:space="preserve">L1 L4</t>
  </si>
  <si>
    <t xml:space="preserve">C17700171</t>
  </si>
  <si>
    <t xml:space="preserve">MWSA0804S-100MT</t>
  </si>
  <si>
    <t xml:space="preserve">Sunlord</t>
  </si>
  <si>
    <t xml:space="preserve">SMD,8.8x8.2mm</t>
  </si>
  <si>
    <t xml:space="preserve">Inductors, Coils, Chokes</t>
  </si>
  <si>
    <t xml:space="preserve">U10</t>
  </si>
  <si>
    <t xml:space="preserve">C308878</t>
  </si>
  <si>
    <t xml:space="preserve">TRS3232EIDR</t>
  </si>
  <si>
    <t xml:space="preserve">SOIC-16</t>
  </si>
  <si>
    <t xml:space="preserve">Q7</t>
  </si>
  <si>
    <t xml:space="preserve">C35349</t>
  </si>
  <si>
    <t xml:space="preserve">AO4406AL</t>
  </si>
  <si>
    <t xml:space="preserve">Alpha &amp; Omega Semicon</t>
  </si>
  <si>
    <t xml:space="preserve">SOIC-8</t>
  </si>
  <si>
    <t xml:space="preserve">Transistors</t>
  </si>
  <si>
    <t xml:space="preserve">U1</t>
  </si>
  <si>
    <t xml:space="preserve">C5126709</t>
  </si>
  <si>
    <t xml:space="preserve">SC7A20TR</t>
  </si>
  <si>
    <t xml:space="preserve">Hangzhou Silan Microelectronics</t>
  </si>
  <si>
    <t xml:space="preserve">LGA-12(2x2)</t>
  </si>
  <si>
    <t xml:space="preserve">Sí</t>
  </si>
  <si>
    <t xml:space="preserve">J15</t>
  </si>
  <si>
    <t xml:space="preserve">C424683</t>
  </si>
  <si>
    <t xml:space="preserve">DB128V-5.0-5P-GN-S</t>
  </si>
  <si>
    <t xml:space="preserve">DIBO</t>
  </si>
  <si>
    <r>
      <rPr>
        <sz val="10"/>
        <rFont val="Noto Sans CJK SC"/>
        <family val="2"/>
      </rPr>
      <t xml:space="preserve">插件</t>
    </r>
    <r>
      <rPr>
        <sz val="10"/>
        <rFont val="Arial"/>
        <family val="0"/>
        <charset val="1"/>
      </rPr>
      <t xml:space="preserve">,P=5mm</t>
    </r>
  </si>
  <si>
    <t xml:space="preserve">U4</t>
  </si>
  <si>
    <t xml:space="preserve">C15578</t>
  </si>
  <si>
    <t xml:space="preserve">TLV1117LV33DCYR</t>
  </si>
  <si>
    <t xml:space="preserve">SOT-223</t>
  </si>
  <si>
    <t xml:space="preserve">C71 C72</t>
  </si>
  <si>
    <t xml:space="preserve">C5440143</t>
  </si>
  <si>
    <t xml:space="preserve">CS3225X7R476K160NRL</t>
  </si>
  <si>
    <t xml:space="preserve">Samwha Capacitor</t>
  </si>
  <si>
    <t xml:space="preserve">1210</t>
  </si>
  <si>
    <t xml:space="preserve">C11 C13 C16 C17 C18 C20 C26 C27 C28 C3 C32 C34 C35 C37 C38 C4 C45 C46 C50 C51 C53 C54 C55 C56 C57 C62 C9</t>
  </si>
  <si>
    <t xml:space="preserve">C14663</t>
  </si>
  <si>
    <t xml:space="preserve">CC0603KRX7R9BB104</t>
  </si>
  <si>
    <t xml:space="preserve">YAGEO</t>
  </si>
  <si>
    <t xml:space="preserve">0603</t>
  </si>
  <si>
    <t xml:space="preserve">L2</t>
  </si>
  <si>
    <t xml:space="preserve">C17700167</t>
  </si>
  <si>
    <t xml:space="preserve">MWSA0804S-4R7MT</t>
  </si>
  <si>
    <t xml:space="preserve">J11 J12</t>
  </si>
  <si>
    <t xml:space="preserve">C5160226</t>
  </si>
  <si>
    <t xml:space="preserve">15EDGRC-3.5-03P-14-00A(H)</t>
  </si>
  <si>
    <t xml:space="preserve">DEGSON</t>
  </si>
  <si>
    <r>
      <rPr>
        <sz val="10"/>
        <rFont val="Noto Sans CJK SC"/>
        <family val="2"/>
      </rPr>
      <t xml:space="preserve">插件</t>
    </r>
    <r>
      <rPr>
        <sz val="10"/>
        <rFont val="Arial"/>
        <family val="0"/>
        <charset val="1"/>
      </rPr>
      <t xml:space="preserve">,P=3.5mm</t>
    </r>
  </si>
  <si>
    <t xml:space="preserve">L3</t>
  </si>
  <si>
    <t xml:space="preserve">C17700165</t>
  </si>
  <si>
    <t xml:space="preserve">MWSA0804S-2R2MT</t>
  </si>
  <si>
    <t xml:space="preserve">SW3</t>
  </si>
  <si>
    <t xml:space="preserve">C2689642</t>
  </si>
  <si>
    <t xml:space="preserve">PTS636SK25SMTRLFS</t>
  </si>
  <si>
    <t xml:space="preserve">C&amp;K</t>
  </si>
  <si>
    <t xml:space="preserve">SMD,6x3.5mm</t>
  </si>
  <si>
    <t xml:space="preserve">Switches</t>
  </si>
  <si>
    <t xml:space="preserve">Q6</t>
  </si>
  <si>
    <t xml:space="preserve">C2624</t>
  </si>
  <si>
    <t xml:space="preserve">IRFR5305TRPBF</t>
  </si>
  <si>
    <t xml:space="preserve">Infineon Technologies</t>
  </si>
  <si>
    <t xml:space="preserve">DPAK(TO-252AA)</t>
  </si>
  <si>
    <t xml:space="preserve">C21</t>
  </si>
  <si>
    <t xml:space="preserve">C138687</t>
  </si>
  <si>
    <t xml:space="preserve">CL32B106KBJNNNE</t>
  </si>
  <si>
    <t xml:space="preserve">C58</t>
  </si>
  <si>
    <t xml:space="preserve">C14860</t>
  </si>
  <si>
    <t xml:space="preserve">CL31B106KAHNNNE</t>
  </si>
  <si>
    <t xml:space="preserve">1206</t>
  </si>
  <si>
    <t xml:space="preserve">J8 J9</t>
  </si>
  <si>
    <t xml:space="preserve">C2925557</t>
  </si>
  <si>
    <t xml:space="preserve">PM200V-11-10-H43</t>
  </si>
  <si>
    <t xml:space="preserve">XFCN</t>
  </si>
  <si>
    <r>
      <rPr>
        <sz val="10"/>
        <rFont val="Noto Sans CJK SC"/>
        <family val="2"/>
      </rPr>
      <t xml:space="preserve">插件</t>
    </r>
    <r>
      <rPr>
        <sz val="10"/>
        <rFont val="Arial"/>
        <family val="0"/>
        <charset val="1"/>
      </rPr>
      <t xml:space="preserve">,P=2mm</t>
    </r>
  </si>
  <si>
    <t xml:space="preserve">U7</t>
  </si>
  <si>
    <t xml:space="preserve">C8963</t>
  </si>
  <si>
    <t xml:space="preserve">SP3485EN-L/TR</t>
  </si>
  <si>
    <t xml:space="preserve">MaxLinear</t>
  </si>
  <si>
    <t xml:space="preserve">J1 J16 J2 J3 J4</t>
  </si>
  <si>
    <t xml:space="preserve">C158012</t>
  </si>
  <si>
    <t xml:space="preserve">B2B-XH-A(LF)(SN)</t>
  </si>
  <si>
    <t xml:space="preserve">JST Sales America</t>
  </si>
  <si>
    <r>
      <rPr>
        <sz val="10"/>
        <rFont val="Noto Sans CJK SC"/>
        <family val="2"/>
      </rPr>
      <t xml:space="preserve">插件</t>
    </r>
    <r>
      <rPr>
        <sz val="10"/>
        <rFont val="Arial"/>
        <family val="0"/>
        <charset val="1"/>
      </rPr>
      <t xml:space="preserve">,P=2.5mm</t>
    </r>
  </si>
  <si>
    <t xml:space="preserve">Y1 Y2</t>
  </si>
  <si>
    <t xml:space="preserve">C14872</t>
  </si>
  <si>
    <t xml:space="preserve">X49SM25MSD2SC</t>
  </si>
  <si>
    <t xml:space="preserve">Yangxing Tech</t>
  </si>
  <si>
    <t xml:space="preserve">HC-49S-SMD</t>
  </si>
  <si>
    <t xml:space="preserve">Crystals/Oscillators/Resonators</t>
  </si>
  <si>
    <t xml:space="preserve">D20</t>
  </si>
  <si>
    <t xml:space="preserve">C7519</t>
  </si>
  <si>
    <t xml:space="preserve">USBLC6-2SC6</t>
  </si>
  <si>
    <t xml:space="preserve">SOT-23-6L</t>
  </si>
  <si>
    <t xml:space="preserve">Circuit Protection</t>
  </si>
  <si>
    <t xml:space="preserve">Y4</t>
  </si>
  <si>
    <t xml:space="preserve">C32346</t>
  </si>
  <si>
    <t xml:space="preserve">Q13FC13500004</t>
  </si>
  <si>
    <t xml:space="preserve">Seiko Epson</t>
  </si>
  <si>
    <t xml:space="preserve">SMD3215-2P</t>
  </si>
  <si>
    <t xml:space="preserve">Q1 Q2</t>
  </si>
  <si>
    <t xml:space="preserve">C20917</t>
  </si>
  <si>
    <t xml:space="preserve">AO3400A</t>
  </si>
  <si>
    <t xml:space="preserve">SOT-23</t>
  </si>
  <si>
    <t xml:space="preserve">D11 D21 D3 D8 D9</t>
  </si>
  <si>
    <t xml:space="preserve">C8678</t>
  </si>
  <si>
    <t xml:space="preserve">SS34</t>
  </si>
  <si>
    <r>
      <rPr>
        <sz val="10"/>
        <rFont val="Arial"/>
        <family val="0"/>
        <charset val="1"/>
      </rPr>
      <t xml:space="preserve">MDD</t>
    </r>
    <r>
      <rPr>
        <sz val="10"/>
        <rFont val="Noto Sans CJK SC"/>
        <family val="2"/>
      </rPr>
      <t xml:space="preserve">（</t>
    </r>
    <r>
      <rPr>
        <sz val="10"/>
        <rFont val="Arial"/>
        <family val="0"/>
        <charset val="1"/>
      </rPr>
      <t xml:space="preserve">Microdiode Electronics</t>
    </r>
    <r>
      <rPr>
        <sz val="10"/>
        <rFont val="Noto Sans CJK SC"/>
        <family val="2"/>
      </rPr>
      <t xml:space="preserve">）</t>
    </r>
  </si>
  <si>
    <t xml:space="preserve">SMA(DO-214AC)</t>
  </si>
  <si>
    <t xml:space="preserve">Diodes</t>
  </si>
  <si>
    <t xml:space="preserve">D18</t>
  </si>
  <si>
    <t xml:space="preserve">C83325</t>
  </si>
  <si>
    <t xml:space="preserve">SMBJ33CA</t>
  </si>
  <si>
    <t xml:space="preserve">Littelfuse</t>
  </si>
  <si>
    <t xml:space="preserve">DO-214AA</t>
  </si>
  <si>
    <t xml:space="preserve">C73</t>
  </si>
  <si>
    <t xml:space="preserve">C165527</t>
  </si>
  <si>
    <t xml:space="preserve">MVK50V47M6.3*8 6.3TP</t>
  </si>
  <si>
    <t xml:space="preserve">SamYoung Electronics</t>
  </si>
  <si>
    <t xml:space="preserve">SMD,D6.3xL8mm</t>
  </si>
  <si>
    <t xml:space="preserve">C1</t>
  </si>
  <si>
    <t xml:space="preserve">C88744</t>
  </si>
  <si>
    <t xml:space="preserve">35TZV100M6.3X8</t>
  </si>
  <si>
    <t xml:space="preserve">Rubycon</t>
  </si>
  <si>
    <t xml:space="preserve">F1</t>
  </si>
  <si>
    <t xml:space="preserve">C18164540</t>
  </si>
  <si>
    <t xml:space="preserve">BSMD1812-400-12V</t>
  </si>
  <si>
    <t xml:space="preserve">BHFUSE</t>
  </si>
  <si>
    <t xml:space="preserve">1812</t>
  </si>
  <si>
    <t xml:space="preserve">TVS/Fuse/Board Level Protection</t>
  </si>
  <si>
    <t xml:space="preserve">Y3</t>
  </si>
  <si>
    <t xml:space="preserve">C2238</t>
  </si>
  <si>
    <t xml:space="preserve">X49SM36864MSD2SC-1</t>
  </si>
  <si>
    <t xml:space="preserve">D5 D6 D7</t>
  </si>
  <si>
    <t xml:space="preserve">C2827694</t>
  </si>
  <si>
    <t xml:space="preserve">PESD5V0S1BA</t>
  </si>
  <si>
    <t xml:space="preserve">TECH PUBLIC</t>
  </si>
  <si>
    <t xml:space="preserve">SOD-323</t>
  </si>
  <si>
    <t xml:space="preserve">Q4</t>
  </si>
  <si>
    <t xml:space="preserve">C15127</t>
  </si>
  <si>
    <t xml:space="preserve">AO3401A</t>
  </si>
  <si>
    <t xml:space="preserve">D1 D13 D14 D15 D16 D17</t>
  </si>
  <si>
    <t xml:space="preserve">C2297</t>
  </si>
  <si>
    <t xml:space="preserve">KT-0805G</t>
  </si>
  <si>
    <t xml:space="preserve">Hubei KENTO Elec</t>
  </si>
  <si>
    <t xml:space="preserve">Optoelectronics</t>
  </si>
  <si>
    <t xml:space="preserve">SW1 SW2</t>
  </si>
  <si>
    <t xml:space="preserve">C83205</t>
  </si>
  <si>
    <t xml:space="preserve">K2-6639DP-B4SW-04</t>
  </si>
  <si>
    <t xml:space="preserve">Korean Hroparts Elec</t>
  </si>
  <si>
    <r>
      <rPr>
        <sz val="10"/>
        <rFont val="Noto Sans CJK SC"/>
        <family val="2"/>
      </rPr>
      <t xml:space="preserve">插件</t>
    </r>
    <r>
      <rPr>
        <sz val="10"/>
        <rFont val="Arial"/>
        <family val="0"/>
        <charset val="1"/>
      </rPr>
      <t xml:space="preserve">-4P,6x6mm</t>
    </r>
  </si>
  <si>
    <t xml:space="preserve">J10</t>
  </si>
  <si>
    <t xml:space="preserve">C144395</t>
  </si>
  <si>
    <t xml:space="preserve">B4B-XH-A(LF)(SN)</t>
  </si>
  <si>
    <t xml:space="preserve">J5</t>
  </si>
  <si>
    <t xml:space="preserve">C144394</t>
  </si>
  <si>
    <t xml:space="preserve">B3B-XH-A(LF)(SN)</t>
  </si>
  <si>
    <t xml:space="preserve">R68</t>
  </si>
  <si>
    <t xml:space="preserve">C105362</t>
  </si>
  <si>
    <t xml:space="preserve">FMF06FTHR010-LH</t>
  </si>
  <si>
    <t xml:space="preserve">PSA(Prosperity Dielectrics)</t>
  </si>
  <si>
    <t xml:space="preserve">Resistors</t>
  </si>
  <si>
    <t xml:space="preserve">D19</t>
  </si>
  <si>
    <t xml:space="preserve">C80857</t>
  </si>
  <si>
    <t xml:space="preserve">BZX84C15LT1G</t>
  </si>
  <si>
    <t xml:space="preserve">onsemi</t>
  </si>
  <si>
    <t xml:space="preserve">C23</t>
  </si>
  <si>
    <t xml:space="preserve">C1779</t>
  </si>
  <si>
    <t xml:space="preserve">CL21A475KAQNNNE</t>
  </si>
  <si>
    <t xml:space="preserve">R17 R24 R45 R46 R50 R57 R60 R64 R69 R7 R70 R75 R76 R80</t>
  </si>
  <si>
    <t xml:space="preserve">C25803</t>
  </si>
  <si>
    <t xml:space="preserve">0603WAF1003T5E</t>
  </si>
  <si>
    <t xml:space="preserve">UNI-ROYAL(Uniroyal Elec)</t>
  </si>
  <si>
    <t xml:space="preserve">C22 C25</t>
  </si>
  <si>
    <t xml:space="preserve">C1647</t>
  </si>
  <si>
    <t xml:space="preserve">CL10C180JB8NNNC</t>
  </si>
  <si>
    <t xml:space="preserve">D2</t>
  </si>
  <si>
    <t xml:space="preserve">C131469</t>
  </si>
  <si>
    <t xml:space="preserve">BAT54W</t>
  </si>
  <si>
    <t xml:space="preserve">Changjiang Electronics Tech (CJ)</t>
  </si>
  <si>
    <t xml:space="preserve">SOD-123</t>
  </si>
  <si>
    <t xml:space="preserve">C59</t>
  </si>
  <si>
    <t xml:space="preserve">C19702</t>
  </si>
  <si>
    <t xml:space="preserve">CL10A106KP8NNNC</t>
  </si>
  <si>
    <t xml:space="preserve">R12 R13 R19 R2 R20 R26 R28 R29 R32 R35 R36 R48 R56 R74 R8</t>
  </si>
  <si>
    <t xml:space="preserve">C25804</t>
  </si>
  <si>
    <t xml:space="preserve">0603WAF1002T5E</t>
  </si>
  <si>
    <t xml:space="preserve">C10 C19</t>
  </si>
  <si>
    <t xml:space="preserve">C19666</t>
  </si>
  <si>
    <t xml:space="preserve">CL10A475KO8NNNC</t>
  </si>
  <si>
    <t xml:space="preserve">J14</t>
  </si>
  <si>
    <t xml:space="preserve">C5116483</t>
  </si>
  <si>
    <t xml:space="preserve">2.54-1*4</t>
  </si>
  <si>
    <t xml:space="preserve">ZHOURI</t>
  </si>
  <si>
    <r>
      <rPr>
        <sz val="10"/>
        <rFont val="Noto Sans CJK SC"/>
        <family val="2"/>
      </rPr>
      <t xml:space="preserve">插件</t>
    </r>
    <r>
      <rPr>
        <sz val="10"/>
        <rFont val="Arial"/>
        <family val="0"/>
        <charset val="1"/>
      </rPr>
      <t xml:space="preserve">,P=2.54mm</t>
    </r>
  </si>
  <si>
    <t xml:space="preserve">Q3 Q5</t>
  </si>
  <si>
    <t xml:space="preserve">C20526</t>
  </si>
  <si>
    <t xml:space="preserve">MMBT3904(RANGE:100-300)</t>
  </si>
  <si>
    <t xml:space="preserve">D12</t>
  </si>
  <si>
    <t xml:space="preserve">C125098</t>
  </si>
  <si>
    <t xml:space="preserve">LTST-C191KGKT</t>
  </si>
  <si>
    <t xml:space="preserve">Lite-On</t>
  </si>
  <si>
    <t xml:space="preserve">D10</t>
  </si>
  <si>
    <t xml:space="preserve">C125103</t>
  </si>
  <si>
    <t xml:space="preserve">LTST-C193TBKT-5A</t>
  </si>
  <si>
    <t xml:space="preserve">C41 C44</t>
  </si>
  <si>
    <t xml:space="preserve">C38523</t>
  </si>
  <si>
    <t xml:space="preserve">CL10C120JB8NNNC</t>
  </si>
  <si>
    <t xml:space="preserve">C39 C40</t>
  </si>
  <si>
    <t xml:space="preserve">C1644</t>
  </si>
  <si>
    <t xml:space="preserve">CL10C150JB8NNNC</t>
  </si>
  <si>
    <t xml:space="preserve">C52 C74</t>
  </si>
  <si>
    <t xml:space="preserve">C1604</t>
  </si>
  <si>
    <t xml:space="preserve">0603B222K500NT</t>
  </si>
  <si>
    <t xml:space="preserve">FH(Guangdong Fenghua Advanced Tech)</t>
  </si>
  <si>
    <t xml:space="preserve">C49 C6 C61 C75</t>
  </si>
  <si>
    <t xml:space="preserve">C57112</t>
  </si>
  <si>
    <t xml:space="preserve">0603B103K500NT</t>
  </si>
  <si>
    <t xml:space="preserve">C67</t>
  </si>
  <si>
    <t xml:space="preserve">C28262</t>
  </si>
  <si>
    <t xml:space="preserve">CL10C680JB8NNNC</t>
  </si>
  <si>
    <t xml:space="preserve">C29 C42</t>
  </si>
  <si>
    <t xml:space="preserve">C1653</t>
  </si>
  <si>
    <t xml:space="preserve">CL10C220JB8NNNC</t>
  </si>
  <si>
    <t xml:space="preserve">C33</t>
  </si>
  <si>
    <t xml:space="preserve">C15849</t>
  </si>
  <si>
    <t xml:space="preserve">CL10A105KB8NNNC</t>
  </si>
  <si>
    <t xml:space="preserve">R1 R52 R53 R54 R55 R61 R62 R66 R71</t>
  </si>
  <si>
    <t xml:space="preserve">C22787</t>
  </si>
  <si>
    <t xml:space="preserve">0603WAF1200T5E</t>
  </si>
  <si>
    <t xml:space="preserve">R15 R16 R27</t>
  </si>
  <si>
    <t xml:space="preserve">C31850</t>
  </si>
  <si>
    <t xml:space="preserve">0603WAF2202T5E</t>
  </si>
  <si>
    <t xml:space="preserve">C70</t>
  </si>
  <si>
    <t xml:space="preserve">C23630</t>
  </si>
  <si>
    <t xml:space="preserve">CL10A225KO8NNNC</t>
  </si>
  <si>
    <t xml:space="preserve">D4</t>
  </si>
  <si>
    <t xml:space="preserve">C81598</t>
  </si>
  <si>
    <t xml:space="preserve">1N4148W</t>
  </si>
  <si>
    <t xml:space="preserve">ST(Semtech)</t>
  </si>
  <si>
    <t xml:space="preserve">C24</t>
  </si>
  <si>
    <t xml:space="preserve">C1710</t>
  </si>
  <si>
    <t xml:space="preserve">CL21B103KBANNNC</t>
  </si>
  <si>
    <t xml:space="preserve">R25 R31 R40 R41 R42 R43 R49</t>
  </si>
  <si>
    <t xml:space="preserve">C21190</t>
  </si>
  <si>
    <t xml:space="preserve">0603WAF1001T5E</t>
  </si>
  <si>
    <t xml:space="preserve">R10 R3 R4 R9</t>
  </si>
  <si>
    <t xml:space="preserve">C23185</t>
  </si>
  <si>
    <t xml:space="preserve">0603WAF499JT5E</t>
  </si>
  <si>
    <t xml:space="preserve">R33 R34 R5</t>
  </si>
  <si>
    <t xml:space="preserve">C23162</t>
  </si>
  <si>
    <t xml:space="preserve">0603WAF4701T5E</t>
  </si>
  <si>
    <t xml:space="preserve">R38 R39 R72 R73</t>
  </si>
  <si>
    <t xml:space="preserve">C23186</t>
  </si>
  <si>
    <t xml:space="preserve">0603WAF5101T5E</t>
  </si>
  <si>
    <t xml:space="preserve">C15</t>
  </si>
  <si>
    <t xml:space="preserve">C1631</t>
  </si>
  <si>
    <t xml:space="preserve">0603B682K500NT</t>
  </si>
  <si>
    <t xml:space="preserve">R44 R78</t>
  </si>
  <si>
    <t xml:space="preserve">C12447</t>
  </si>
  <si>
    <t xml:space="preserve">0603WAF4022T5E</t>
  </si>
  <si>
    <t xml:space="preserve">R21 R22</t>
  </si>
  <si>
    <t xml:space="preserve">C23138</t>
  </si>
  <si>
    <t xml:space="preserve">0603WAF3300T5E</t>
  </si>
  <si>
    <t xml:space="preserve">R47 R51</t>
  </si>
  <si>
    <t xml:space="preserve">C25967</t>
  </si>
  <si>
    <t xml:space="preserve">0603WAF3162T5E</t>
  </si>
  <si>
    <t xml:space="preserve">C63</t>
  </si>
  <si>
    <t xml:space="preserve">C1525</t>
  </si>
  <si>
    <t xml:space="preserve">CL05B104KO5NNNC</t>
  </si>
  <si>
    <t xml:space="preserve">0402</t>
  </si>
  <si>
    <t xml:space="preserve">R18</t>
  </si>
  <si>
    <t xml:space="preserve">C23189</t>
  </si>
  <si>
    <t xml:space="preserve">0603WAF5601T5E</t>
  </si>
  <si>
    <t xml:space="preserve">R30</t>
  </si>
  <si>
    <t xml:space="preserve">C22859</t>
  </si>
  <si>
    <t xml:space="preserve">0603WAF100JT5E</t>
  </si>
  <si>
    <t xml:space="preserve">R67</t>
  </si>
  <si>
    <t xml:space="preserve">C23260</t>
  </si>
  <si>
    <t xml:space="preserve">0603WAF9101T5E</t>
  </si>
  <si>
    <t xml:space="preserve">R14</t>
  </si>
  <si>
    <t xml:space="preserve">C22775</t>
  </si>
  <si>
    <t xml:space="preserve">0603WAF1000T5E</t>
  </si>
  <si>
    <t xml:space="preserve">R6</t>
  </si>
  <si>
    <t xml:space="preserve">C22978</t>
  </si>
  <si>
    <t xml:space="preserve">0603WAF3301T5E</t>
  </si>
  <si>
    <t xml:space="preserve">R79</t>
  </si>
  <si>
    <t xml:space="preserve">C4184</t>
  </si>
  <si>
    <t xml:space="preserve">0603WAF2002T5E</t>
  </si>
  <si>
    <t xml:space="preserve">R63</t>
  </si>
  <si>
    <t xml:space="preserve">C25811</t>
  </si>
  <si>
    <t xml:space="preserve">0603WAF2003T5E</t>
  </si>
  <si>
    <t xml:space="preserve">R58</t>
  </si>
  <si>
    <t xml:space="preserve">C22840</t>
  </si>
  <si>
    <t xml:space="preserve">0603WAF1431T5E</t>
  </si>
  <si>
    <t xml:space="preserve">R59</t>
  </si>
  <si>
    <t xml:space="preserve">C22965</t>
  </si>
  <si>
    <t xml:space="preserve">0603WAF2703T5E</t>
  </si>
  <si>
    <t xml:space="preserve">R23</t>
  </si>
  <si>
    <t xml:space="preserve">C103261</t>
  </si>
  <si>
    <t xml:space="preserve">RTT031242FTP</t>
  </si>
  <si>
    <t xml:space="preserve">RALEC</t>
  </si>
  <si>
    <t xml:space="preserve">R11</t>
  </si>
  <si>
    <t xml:space="preserve">C25808</t>
  </si>
  <si>
    <t xml:space="preserve">0603WAF1203T5E</t>
  </si>
  <si>
    <t xml:space="preserve">R77</t>
  </si>
  <si>
    <t xml:space="preserve">C103370</t>
  </si>
  <si>
    <t xml:space="preserve">RTT031912FTP</t>
  </si>
  <si>
    <t xml:space="preserve">R65</t>
  </si>
  <si>
    <t xml:space="preserve">C177479</t>
  </si>
  <si>
    <t xml:space="preserve">RCT03499KFLF</t>
  </si>
  <si>
    <t xml:space="preserve">HKR(Hong Kong Resistors)</t>
  </si>
  <si>
    <t xml:space="preserve">BOM V5.7 — partes colocadas por JLC (sin DNP ni MOD1)</t>
  </si>
  <si>
    <t xml:space="preserve">Fuente: paquete de fabricación production/HBOX_v5_Rev7_PROD (= PCB, 229 piezas). Precio = escalón de JLC para la cantidad a pedir, leído de jlcpcb.com/partdetail el 26-oct-2026; si cambias la cantidad de tarjetas, el escalón puede cambiar.</t>
  </si>
  <si>
    <t xml:space="preserve">U9</t>
  </si>
  <si>
    <t xml:space="preserve">L4</t>
  </si>
  <si>
    <t xml:space="preserve">C840531</t>
  </si>
  <si>
    <t xml:space="preserve">SRP1265A-100M</t>
  </si>
  <si>
    <t xml:space="preserve">BOURNS</t>
  </si>
  <si>
    <t xml:space="preserve">SMD,13.5x12.5mm</t>
  </si>
  <si>
    <t xml:space="preserve">Inductors/Coils/Transformers</t>
  </si>
  <si>
    <t xml:space="preserve">C71 C72 C74 C75</t>
  </si>
  <si>
    <t xml:space="preserve">U15</t>
  </si>
  <si>
    <t xml:space="preserve">C524806</t>
  </si>
  <si>
    <t xml:space="preserve">TPS54360BDDAR</t>
  </si>
  <si>
    <t xml:space="preserve">C11 C13 C16 C17 C18 C20 C26 C27 C28 C3 C32 C34 C35 C37 C38 C4 C45 C46 C50 C51 C53 C54 C55 C56 C57 C62 C77 C9</t>
  </si>
  <si>
    <t xml:space="preserve">L1</t>
  </si>
  <si>
    <t xml:space="preserve">F2</t>
  </si>
  <si>
    <t xml:space="preserve">C99550</t>
  </si>
  <si>
    <t xml:space="preserve">0452003.MRL</t>
  </si>
  <si>
    <t xml:space="preserve">2410</t>
  </si>
  <si>
    <t xml:space="preserve">D21</t>
  </si>
  <si>
    <t xml:space="preserve">C85100</t>
  </si>
  <si>
    <t xml:space="preserve">B560C-13-F</t>
  </si>
  <si>
    <t xml:space="preserve">SMC(DO-214AB)</t>
  </si>
  <si>
    <t xml:space="preserve">C76 C79</t>
  </si>
  <si>
    <t xml:space="preserve">C153036</t>
  </si>
  <si>
    <t xml:space="preserve">FS32X225K101EGG</t>
  </si>
  <si>
    <t xml:space="preserve">J1 J2 J3 J4</t>
  </si>
  <si>
    <t xml:space="preserve">D11 D3 D8 D9</t>
  </si>
  <si>
    <t xml:space="preserve">R17 R24 R45 R46 R50 R57 R60 R64 R69 R7 R70</t>
  </si>
  <si>
    <t xml:space="preserve">C49 C6 C61</t>
  </si>
  <si>
    <t xml:space="preserve">C52</t>
  </si>
  <si>
    <t xml:space="preserve">C22772</t>
  </si>
  <si>
    <t xml:space="preserve">0603WAF1022T5E</t>
  </si>
  <si>
    <t xml:space="preserve">C78</t>
  </si>
  <si>
    <t xml:space="preserve">C1542</t>
  </si>
  <si>
    <t xml:space="preserve">0402B682K500NT</t>
  </si>
  <si>
    <t xml:space="preserve">R80</t>
  </si>
  <si>
    <t xml:space="preserve">C23082</t>
  </si>
  <si>
    <t xml:space="preserve">0603WAF5762T5E</t>
  </si>
  <si>
    <t xml:space="preserve">R75</t>
  </si>
  <si>
    <t xml:space="preserve">C165760</t>
  </si>
  <si>
    <t xml:space="preserve">RC0603FR-07162KL</t>
  </si>
  <si>
    <t xml:space="preserve">R76</t>
  </si>
  <si>
    <t xml:space="preserve">C22797</t>
  </si>
  <si>
    <t xml:space="preserve">0603WAF1302T5E</t>
  </si>
  <si>
    <t xml:space="preserve">C80</t>
  </si>
  <si>
    <t xml:space="preserve">C1563</t>
  </si>
  <si>
    <t xml:space="preserve">0402CG390J500NT</t>
  </si>
  <si>
    <t xml:space="preserve">R44</t>
  </si>
  <si>
    <t xml:space="preserve">BOM v6 — partes colocadas por JLC (sin DNP ni MOD1)</t>
  </si>
  <si>
    <t xml:space="preserve">Fuente: hbox-watchdog-v6.kicad_pcb del 26-oct (299 piezas colocadas; la v6 aún no tiene paquete de fabricación). Precio = escalón de JLC para la cantidad a pedir, leído de jlcpcb.com/partdetail el 26-oct-2026; si cambias la cantidad de tarjetas, el escalón puede cambiar.</t>
  </si>
  <si>
    <t xml:space="preserve">U18</t>
  </si>
  <si>
    <t xml:space="preserve">C5120257</t>
  </si>
  <si>
    <t xml:space="preserve">ZED-F9P-04B</t>
  </si>
  <si>
    <t xml:space="preserve">U-BLOX</t>
  </si>
  <si>
    <t xml:space="preserve">SMD,22x17mm</t>
  </si>
  <si>
    <t xml:space="preserve">IoT/Communication Modules</t>
  </si>
  <si>
    <t xml:space="preserve">C18548276</t>
  </si>
  <si>
    <t xml:space="preserve">A7670SA-LASC</t>
  </si>
  <si>
    <t xml:space="preserve">SIMCom Wireless Solutions</t>
  </si>
  <si>
    <t xml:space="preserve">SMD,24x24mm</t>
  </si>
  <si>
    <t xml:space="preserve">U17</t>
  </si>
  <si>
    <t xml:space="preserve">U12</t>
  </si>
  <si>
    <t xml:space="preserve">C2671345</t>
  </si>
  <si>
    <t xml:space="preserve">THVD1410DR</t>
  </si>
  <si>
    <t xml:space="preserve">C108 C14 C3 C34 C4 C44 C55 C6 C65 C82 C85</t>
  </si>
  <si>
    <t xml:space="preserve">C86817</t>
  </si>
  <si>
    <t xml:space="preserve">GRM21BR61C226ME44L</t>
  </si>
  <si>
    <t xml:space="preserve">J10 J16</t>
  </si>
  <si>
    <t xml:space="preserve">U21</t>
  </si>
  <si>
    <t xml:space="preserve">C206912</t>
  </si>
  <si>
    <t xml:space="preserve">0154003.DR</t>
  </si>
  <si>
    <t xml:space="preserve">SMD,9.7x5mm</t>
  </si>
  <si>
    <t xml:space="preserve">U8</t>
  </si>
  <si>
    <t xml:space="preserve">C103 C114 C2 C35 C64 C81 C86 C88 C95</t>
  </si>
  <si>
    <t xml:space="preserve">J9</t>
  </si>
  <si>
    <t xml:space="preserve">L5</t>
  </si>
  <si>
    <t xml:space="preserve">C100 C101 C77 C78 C79 C80</t>
  </si>
  <si>
    <t xml:space="preserve">U19 U2</t>
  </si>
  <si>
    <t xml:space="preserve">C12 C13 C52 C76</t>
  </si>
  <si>
    <t xml:space="preserve">U5 U9</t>
  </si>
  <si>
    <t xml:space="preserve">C730237</t>
  </si>
  <si>
    <t xml:space="preserve">74LVC2T45DC,125</t>
  </si>
  <si>
    <t xml:space="preserve">Nexperia</t>
  </si>
  <si>
    <t xml:space="preserve">VSSOP-8-0.5mm</t>
  </si>
  <si>
    <t xml:space="preserve">Logic ICs</t>
  </si>
  <si>
    <t xml:space="preserve">U22</t>
  </si>
  <si>
    <t xml:space="preserve">U16</t>
  </si>
  <si>
    <t xml:space="preserve">J11</t>
  </si>
  <si>
    <t xml:space="preserve">C2977286</t>
  </si>
  <si>
    <t xml:space="preserve">SF72S006VBDR2500</t>
  </si>
  <si>
    <t xml:space="preserve">JAE Electronics</t>
  </si>
  <si>
    <t xml:space="preserve">SMD</t>
  </si>
  <si>
    <t xml:space="preserve">Electronic Tools/Instruments/Consumables</t>
  </si>
  <si>
    <t xml:space="preserve">U25</t>
  </si>
  <si>
    <t xml:space="preserve">C46506</t>
  </si>
  <si>
    <t xml:space="preserve">TPS2552DBVR</t>
  </si>
  <si>
    <t xml:space="preserve">SOT-23-6</t>
  </si>
  <si>
    <t xml:space="preserve">J19</t>
  </si>
  <si>
    <t xml:space="preserve">D23</t>
  </si>
  <si>
    <t xml:space="preserve">C12067</t>
  </si>
  <si>
    <t xml:space="preserve">SM712.TCT</t>
  </si>
  <si>
    <t xml:space="preserve">SEMTECH</t>
  </si>
  <si>
    <t xml:space="preserve">U26</t>
  </si>
  <si>
    <t xml:space="preserve">C10 C102 C105 C107 C109 C11 C21 C22 C24 C26 C28 C29 C30 C31 C41 C42 C48 C57 C61 C66 C67 C7 C70 C71 C72 C73 C74 C8 C83 C84 C89 C9</t>
  </si>
  <si>
    <t xml:space="preserve">J14 J15</t>
  </si>
  <si>
    <t xml:space="preserve">Q10</t>
  </si>
  <si>
    <t xml:space="preserve">D1 D10 D11 D13 D18 D19 D20 D4 D6</t>
  </si>
  <si>
    <t xml:space="preserve">C91</t>
  </si>
  <si>
    <t xml:space="preserve">C116241</t>
  </si>
  <si>
    <t xml:space="preserve">UUD1H101MNL1GS</t>
  </si>
  <si>
    <t xml:space="preserve">Nichicon</t>
  </si>
  <si>
    <t xml:space="preserve">SMD,D8xL10mm</t>
  </si>
  <si>
    <t xml:space="preserve">J1 J2 J3 J4 J5 J6 J7</t>
  </si>
  <si>
    <t xml:space="preserve">D31 D33</t>
  </si>
  <si>
    <t xml:space="preserve">C224019</t>
  </si>
  <si>
    <t xml:space="preserve">SMBJ33A</t>
  </si>
  <si>
    <t xml:space="preserve">J13 J8</t>
  </si>
  <si>
    <t xml:space="preserve">C88374</t>
  </si>
  <si>
    <t xml:space="preserve">U.FL-R-SMT-1(80)</t>
  </si>
  <si>
    <t xml:space="preserve">HRS(Hirose)</t>
  </si>
  <si>
    <t xml:space="preserve">U20</t>
  </si>
  <si>
    <t xml:space="preserve">C2862740</t>
  </si>
  <si>
    <t xml:space="preserve">TPS7A2033PDBVR</t>
  </si>
  <si>
    <t xml:space="preserve">SOT-23-5</t>
  </si>
  <si>
    <t xml:space="preserve">C48615</t>
  </si>
  <si>
    <t xml:space="preserve">Q13FC13500002</t>
  </si>
  <si>
    <t xml:space="preserve">D32</t>
  </si>
  <si>
    <t xml:space="preserve">Q1 Q6</t>
  </si>
  <si>
    <t xml:space="preserve">C98 C99</t>
  </si>
  <si>
    <t xml:space="preserve">U24</t>
  </si>
  <si>
    <t xml:space="preserve">D8</t>
  </si>
  <si>
    <t xml:space="preserve">C1975527</t>
  </si>
  <si>
    <t xml:space="preserve">PESD0402-240</t>
  </si>
  <si>
    <t xml:space="preserve">C20627123</t>
  </si>
  <si>
    <t xml:space="preserve">1812L300/24GR</t>
  </si>
  <si>
    <t xml:space="preserve">LUTE</t>
  </si>
  <si>
    <t xml:space="preserve">D12 D16 D17 D22</t>
  </si>
  <si>
    <t xml:space="preserve">C117</t>
  </si>
  <si>
    <t xml:space="preserve">C88734</t>
  </si>
  <si>
    <t xml:space="preserve">50TZV47M6.3X8</t>
  </si>
  <si>
    <t xml:space="preserve">D26</t>
  </si>
  <si>
    <t xml:space="preserve">C699039</t>
  </si>
  <si>
    <t xml:space="preserve">SMCJ33A</t>
  </si>
  <si>
    <t xml:space="preserve">Yangzhou Yangjie Elec Tech</t>
  </si>
  <si>
    <t xml:space="preserve">DO-214AB(SMC)</t>
  </si>
  <si>
    <t xml:space="preserve">D2 D24 D25 D27 D28 D9</t>
  </si>
  <si>
    <t xml:space="preserve">Y1</t>
  </si>
  <si>
    <t xml:space="preserve">Q11</t>
  </si>
  <si>
    <t xml:space="preserve">Y2</t>
  </si>
  <si>
    <t xml:space="preserve">C2901684</t>
  </si>
  <si>
    <t xml:space="preserve">SX3B25.000F1010F30</t>
  </si>
  <si>
    <t xml:space="preserve">Shenzhen SCTF Elec</t>
  </si>
  <si>
    <t xml:space="preserve">SMD3225-4P</t>
  </si>
  <si>
    <t xml:space="preserve">Crystal Oscillator/Oscillator/Resonator</t>
  </si>
  <si>
    <t xml:space="preserve">L6</t>
  </si>
  <si>
    <t xml:space="preserve">C162555</t>
  </si>
  <si>
    <t xml:space="preserve">LQG18HN68NJ00D</t>
  </si>
  <si>
    <t xml:space="preserve">U23</t>
  </si>
  <si>
    <t xml:space="preserve">C12518</t>
  </si>
  <si>
    <t xml:space="preserve">74LVC1G125GV,125</t>
  </si>
  <si>
    <t xml:space="preserve">SOT-753</t>
  </si>
  <si>
    <t xml:space="preserve">D34</t>
  </si>
  <si>
    <t xml:space="preserve">C82326</t>
  </si>
  <si>
    <t xml:space="preserve">ESD9L5.0ST5G</t>
  </si>
  <si>
    <t xml:space="preserve">SOD-923</t>
  </si>
  <si>
    <t xml:space="preserve">J18</t>
  </si>
  <si>
    <t xml:space="preserve">J12</t>
  </si>
  <si>
    <t xml:space="preserve">C7827</t>
  </si>
  <si>
    <t xml:space="preserve">SN74LVC1G04DBVR</t>
  </si>
  <si>
    <t xml:space="preserve">C106 C112 C115 C116 C16 C37 C38 C47 C58 C59 C60 C63 C92 C93 C94</t>
  </si>
  <si>
    <t xml:space="preserve">C15 C32 C36</t>
  </si>
  <si>
    <t xml:space="preserve">R101 R102 R21 R30 R31 R33 R37 R38 R42 R46 R55 R58 R59 R60 R62 R67 R87 R98</t>
  </si>
  <si>
    <t xml:space="preserve">D7</t>
  </si>
  <si>
    <t xml:space="preserve">C113952</t>
  </si>
  <si>
    <t xml:space="preserve">SMAJ5.0A</t>
  </si>
  <si>
    <t xml:space="preserve">DO-214AC(SMA)</t>
  </si>
  <si>
    <t xml:space="preserve">D30</t>
  </si>
  <si>
    <t xml:space="preserve">C8545</t>
  </si>
  <si>
    <t xml:space="preserve">2N7002</t>
  </si>
  <si>
    <t xml:space="preserve">R13 R14 R15 R18 R19 R20 R24 R25 R3 R52 R53 R66 R72 R82 R96</t>
  </si>
  <si>
    <t xml:space="preserve">D5</t>
  </si>
  <si>
    <t xml:space="preserve">R11 R12 R4 R5</t>
  </si>
  <si>
    <t xml:space="preserve">C218051</t>
  </si>
  <si>
    <t xml:space="preserve">ARG03FTC49R9</t>
  </si>
  <si>
    <t xml:space="preserve">Viking Tech</t>
  </si>
  <si>
    <t xml:space="preserve">C27 C56</t>
  </si>
  <si>
    <t xml:space="preserve">J17</t>
  </si>
  <si>
    <t xml:space="preserve">C62 C87</t>
  </si>
  <si>
    <t xml:space="preserve">Q2 Q8</t>
  </si>
  <si>
    <t xml:space="preserve">D15</t>
  </si>
  <si>
    <t xml:space="preserve">D14</t>
  </si>
  <si>
    <t xml:space="preserve">C43 C51</t>
  </si>
  <si>
    <t xml:space="preserve">C25 C33 C54</t>
  </si>
  <si>
    <t xml:space="preserve">C1589</t>
  </si>
  <si>
    <t xml:space="preserve">CL10B103KB8NNNC</t>
  </si>
  <si>
    <t xml:space="preserve">C1663</t>
  </si>
  <si>
    <t xml:space="preserve">CL10C330JB8NNNC</t>
  </si>
  <si>
    <t xml:space="preserve">R104 R109 R2 R83 R88 R89 R90 R91 R97</t>
  </si>
  <si>
    <t xml:space="preserve">C68 C69</t>
  </si>
  <si>
    <t xml:space="preserve">R103 R43 R54 R6 R61 R7</t>
  </si>
  <si>
    <t xml:space="preserve">C14676</t>
  </si>
  <si>
    <t xml:space="preserve">RC0603JR-071KL</t>
  </si>
  <si>
    <t xml:space="preserve">R1 R29 R50 R51</t>
  </si>
  <si>
    <t xml:space="preserve">C53</t>
  </si>
  <si>
    <t xml:space="preserve">C110 C45</t>
  </si>
  <si>
    <t xml:space="preserve">C18</t>
  </si>
  <si>
    <t xml:space="preserve">C32949</t>
  </si>
  <si>
    <t xml:space="preserve">CL05C100JB5NNNC</t>
  </si>
  <si>
    <t xml:space="preserve">R106</t>
  </si>
  <si>
    <t xml:space="preserve">R110 R111 R44 R45</t>
  </si>
  <si>
    <t xml:space="preserve">C20</t>
  </si>
  <si>
    <t xml:space="preserve">R40 R64 R68</t>
  </si>
  <si>
    <t xml:space="preserve">C23345</t>
  </si>
  <si>
    <t xml:space="preserve">0603WAF220JT5E</t>
  </si>
  <si>
    <t xml:space="preserve">C49 C50</t>
  </si>
  <si>
    <t xml:space="preserve">C1679</t>
  </si>
  <si>
    <t xml:space="preserve">0603CG6R8C500NT</t>
  </si>
  <si>
    <t xml:space="preserve">R86 R95</t>
  </si>
  <si>
    <t xml:space="preserve">C14675</t>
  </si>
  <si>
    <t xml:space="preserve">RC0603FR-07100KL</t>
  </si>
  <si>
    <t xml:space="preserve">R10 R22</t>
  </si>
  <si>
    <t xml:space="preserve">R93</t>
  </si>
  <si>
    <t xml:space="preserve">C17</t>
  </si>
  <si>
    <t xml:space="preserve">C1562</t>
  </si>
  <si>
    <t xml:space="preserve">0402CG330J500NT</t>
  </si>
  <si>
    <t xml:space="preserve">R32</t>
  </si>
  <si>
    <t xml:space="preserve">R112 R16</t>
  </si>
  <si>
    <t xml:space="preserve">C88614</t>
  </si>
  <si>
    <t xml:space="preserve">RS-03K223JT</t>
  </si>
  <si>
    <t xml:space="preserve">C113</t>
  </si>
  <si>
    <t xml:space="preserve">C1546</t>
  </si>
  <si>
    <t xml:space="preserve">0402CG101J500NT</t>
  </si>
  <si>
    <t xml:space="preserve">R107</t>
  </si>
  <si>
    <t xml:space="preserve">R100</t>
  </si>
  <si>
    <t xml:space="preserve">R108</t>
  </si>
  <si>
    <t xml:space="preserve">C111</t>
  </si>
  <si>
    <t xml:space="preserve">R35</t>
  </si>
  <si>
    <t xml:space="preserve">C22862</t>
  </si>
  <si>
    <t xml:space="preserve">0603WAF1133T5E</t>
  </si>
  <si>
    <t xml:space="preserve">R71</t>
  </si>
  <si>
    <t xml:space="preserve">R47</t>
  </si>
  <si>
    <t xml:space="preserve">C209139</t>
  </si>
  <si>
    <t xml:space="preserve">RMS06FT4022</t>
  </si>
  <si>
    <t xml:space="preserve">TA-I Tech</t>
  </si>
  <si>
    <t xml:space="preserve">R8</t>
  </si>
  <si>
    <t xml:space="preserve">C21189</t>
  </si>
  <si>
    <t xml:space="preserve">0603WAF0000T5E</t>
  </si>
  <si>
    <t xml:space="preserve">R28</t>
  </si>
  <si>
    <t xml:space="preserve">C23242</t>
  </si>
  <si>
    <t xml:space="preserve">0603WAF7502T5E</t>
  </si>
  <si>
    <t xml:space="preserve">R34</t>
  </si>
  <si>
    <t xml:space="preserve">R27</t>
  </si>
  <si>
    <t xml:space="preserve">C46</t>
  </si>
  <si>
    <t xml:space="preserve">C1572</t>
  </si>
  <si>
    <t xml:space="preserve">0402CG560J500NT</t>
  </si>
  <si>
    <t xml:space="preserve">R39</t>
  </si>
  <si>
    <t xml:space="preserve">C304185</t>
  </si>
  <si>
    <t xml:space="preserve">CR-03FL7----0R</t>
  </si>
  <si>
    <t xml:space="preserve">R57</t>
  </si>
  <si>
    <t xml:space="preserve">R81</t>
  </si>
  <si>
    <t xml:space="preserve">R94</t>
  </si>
  <si>
    <t xml:space="preserve">R17</t>
  </si>
  <si>
    <t xml:space="preserve">C4190</t>
  </si>
  <si>
    <t xml:space="preserve">0603WAF2201T5E</t>
  </si>
  <si>
    <t xml:space="preserve">R73</t>
  </si>
  <si>
    <t xml:space="preserve">R26</t>
  </si>
  <si>
    <t xml:space="preserve">R85</t>
  </si>
  <si>
    <t xml:space="preserve">R9</t>
  </si>
  <si>
    <t xml:space="preserve">C17168</t>
  </si>
  <si>
    <t xml:space="preserve">0402WGF0000TCE</t>
  </si>
  <si>
    <t xml:space="preserve">Piezas sin existencia suficiente en JLC para los tres pedidos juntos (26-oct-2026)</t>
  </si>
  <si>
    <t xml:space="preserve">La demanda suma la cantidad a pedir de las tres hojas BOM. Se costean con el sobreprecio de Supuestos. Hay que resolverlas antes de pagar: pre-orden a la biblioteca de JLC, Global Sourcing, pieza alterna o consigna.</t>
  </si>
  <si>
    <t xml:space="preserve">Tarjetas que la usan</t>
  </si>
  <si>
    <t xml:space="preserve">Designadores (V5.6 / V5.7 / v6)</t>
  </si>
  <si>
    <t xml:space="preserve">Existencia JLC</t>
  </si>
  <si>
    <t xml:space="preserve">Faltan</t>
  </si>
  <si>
    <t xml:space="preserve">Acción sugerida</t>
  </si>
  <si>
    <t xml:space="preserve">V5.6, V5.7, v6</t>
  </si>
  <si>
    <t xml:space="preserve">V5.6: Q7 · V5.7: Q7 · v6: Q7</t>
  </si>
  <si>
    <t xml:space="preserve">MOSFET de corte (Q7). Hay equivalentes SOIC-8 N-ch 30 V en stock (validar RDS(on) y Vgs).</t>
  </si>
  <si>
    <t xml:space="preserve">V5.6: U13 · V5.7: U13 · v6: U4</t>
  </si>
  <si>
    <t xml:space="preserve">Buck del módem (U13 V5.x / U4 v6). Pre-orden o alterna pin a pin; revisar con el layout.</t>
  </si>
  <si>
    <t xml:space="preserve">V5.6: D2 · V5.7: D2 · v6: D5</t>
  </si>
  <si>
    <t xml:space="preserve">Diodo Schottky SOD-123: alterna trivial en stock.</t>
  </si>
  <si>
    <t xml:space="preserve">V5.6: L3 · V5.7: L3 · v6: L4</t>
  </si>
  <si>
    <t xml:space="preserve">Inductor 2.2 µH 8×8. Pre-orden o alterna de la misma huella.</t>
  </si>
  <si>
    <t xml:space="preserve">V5.6: L2 · V5.7: L2 · v6: L1</t>
  </si>
  <si>
    <t xml:space="preserve">Inductor 4.7 µH 8×8 sin existencia. Pre-orden o alterna de la misma huella.</t>
  </si>
  <si>
    <t xml:space="preserve">V5.6: R23 · V5.7: R23 · v6: R23</t>
  </si>
  <si>
    <t xml:space="preserve">Resistor 12.4 kΩ 1% 0603: alterna Basic/Extended trivial.</t>
  </si>
  <si>
    <t xml:space="preserve">V5.6: U1 · V5.7: U1 · v6: U26</t>
  </si>
  <si>
    <t xml:space="preserve">Acelerómetro LGA-12. Pre-orden; la alterna exige revisar huella y firmware.</t>
  </si>
  <si>
    <t xml:space="preserve">V5.6: U3 · V5.7: U3 · v6: U3</t>
  </si>
  <si>
    <t xml:space="preserve">MCU de todas las tarjetas. JLC tiene 2 pzas. Pre-ordenar por Global Sourcing YA o comprar a distribuidor (Mouser/Digi-Key) y enviar en consigna. Ruta crítica.</t>
  </si>
  <si>
    <t xml:space="preserve">v6: U6</t>
  </si>
  <si>
    <t xml:space="preserve">Módem LTE de la v6: 44 en JLC para 61 necesarias. Pre-ordenar el resto o enviar en consigna.</t>
  </si>
  <si>
    <t xml:space="preserve">V5.6, V5.7</t>
  </si>
  <si>
    <t xml:space="preserve">V5.6: C73 · V5.7: C73</t>
  </si>
  <si>
    <t xml:space="preserve">Electrolítico 47 µF/50 V 6.3×7.7: hay muchas alternas Basic/Extended en stock.</t>
  </si>
  <si>
    <t xml:space="preserve">V5.6: R77</t>
  </si>
  <si>
    <t xml:space="preserve">Resistor 19.1 kΩ 1% 0603: alterna trivial.</t>
  </si>
  <si>
    <t xml:space="preserve">V5.7, v6</t>
  </si>
  <si>
    <t xml:space="preserve">V5.7: L4 · v6: L5</t>
  </si>
  <si>
    <t xml:space="preserve">Inductor de U15/U22 (fuente 24→5 V V5.7 y v6) sin existencia. Pre-orden o alterna 12.5×13.5.</t>
  </si>
</sst>
</file>

<file path=xl/styles.xml><?xml version="1.0" encoding="utf-8"?>
<styleSheet xmlns="http://schemas.openxmlformats.org/spreadsheetml/2006/main">
  <numFmts count="10">
    <numFmt numFmtId="164" formatCode="General"/>
    <numFmt numFmtId="165" formatCode="#,##0;\(#,##0\);\-"/>
    <numFmt numFmtId="166" formatCode="\$#,##0.00;&quot;($&quot;#,##0.00\);\-"/>
    <numFmt numFmtId="167" formatCode="&quot;MX$&quot;#,##0;&quot;(MX$&quot;#,##0\);\-"/>
    <numFmt numFmtId="168" formatCode="0.00&quot; kg&quot;"/>
    <numFmt numFmtId="169" formatCode="0.0%;\(0.0%\);\-"/>
    <numFmt numFmtId="170" formatCode="0.00"/>
    <numFmt numFmtId="171" formatCode="0.00\×"/>
    <numFmt numFmtId="172" formatCode="\$#,##0.0000"/>
    <numFmt numFmtId="173" formatCode="#,##0"/>
  </numFmts>
  <fonts count="12">
    <font>
      <sz val="11"/>
      <color theme="1"/>
      <name val="Calibri"/>
      <family val="2"/>
      <charset val="1"/>
    </font>
    <font>
      <sz val="10"/>
      <name val="Arial"/>
      <family val="0"/>
    </font>
    <font>
      <sz val="10"/>
      <name val="Arial"/>
      <family val="0"/>
    </font>
    <font>
      <sz val="10"/>
      <name val="Arial"/>
      <family val="0"/>
    </font>
    <font>
      <b val="true"/>
      <sz val="14"/>
      <name val="Arial"/>
      <family val="0"/>
      <charset val="1"/>
    </font>
    <font>
      <sz val="10"/>
      <name val="Arial"/>
      <family val="0"/>
      <charset val="1"/>
    </font>
    <font>
      <i val="true"/>
      <sz val="9"/>
      <color rgb="FF555555"/>
      <name val="Arial"/>
      <family val="0"/>
      <charset val="1"/>
    </font>
    <font>
      <b val="true"/>
      <sz val="10"/>
      <color rgb="FFFFFFFF"/>
      <name val="Arial"/>
      <family val="0"/>
      <charset val="1"/>
    </font>
    <font>
      <sz val="10"/>
      <color rgb="FF008000"/>
      <name val="Arial"/>
      <family val="0"/>
      <charset val="1"/>
    </font>
    <font>
      <b val="true"/>
      <sz val="10"/>
      <name val="Arial"/>
      <family val="0"/>
      <charset val="1"/>
    </font>
    <font>
      <sz val="10"/>
      <color rgb="FF0000FF"/>
      <name val="Arial"/>
      <family val="0"/>
      <charset val="1"/>
    </font>
    <font>
      <sz val="10"/>
      <name val="Noto Sans CJK SC"/>
      <family val="2"/>
    </font>
  </fonts>
  <fills count="6">
    <fill>
      <patternFill patternType="none"/>
    </fill>
    <fill>
      <patternFill patternType="gray125"/>
    </fill>
    <fill>
      <patternFill patternType="solid">
        <fgColor rgb="FF1F3A5F"/>
        <bgColor rgb="FF333333"/>
      </patternFill>
    </fill>
    <fill>
      <patternFill patternType="solid">
        <fgColor rgb="FFDCE6F0"/>
        <bgColor rgb="FFEEF2F7"/>
      </patternFill>
    </fill>
    <fill>
      <patternFill patternType="solid">
        <fgColor rgb="FFEEF2F7"/>
        <bgColor rgb="FFDCE6F0"/>
      </patternFill>
    </fill>
    <fill>
      <patternFill patternType="solid">
        <fgColor rgb="FFFFFF00"/>
        <bgColor rgb="FFFFFF00"/>
      </patternFill>
    </fill>
  </fills>
  <borders count="2">
    <border diagonalUp="false" diagonalDown="false">
      <left/>
      <right/>
      <top/>
      <bottom/>
      <diagonal/>
    </border>
    <border diagonalUp="false" diagonalDown="false">
      <left/>
      <right/>
      <top style="thin">
        <color rgb="FFB7C3D0"/>
      </top>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43">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false" applyProtection="false">
      <alignment horizontal="general" vertical="bottom" textRotation="0" wrapText="false" indent="0" shrinkToFit="false"/>
      <protection locked="true" hidden="false"/>
    </xf>
    <xf numFmtId="164" fontId="5" fillId="0" borderId="0" xfId="0" applyFont="true" applyBorder="false" applyAlignment="false" applyProtection="false">
      <alignment horizontal="general" vertical="bottom" textRotation="0" wrapText="false" indent="0" shrinkToFit="false"/>
      <protection locked="true" hidden="false"/>
    </xf>
    <xf numFmtId="164" fontId="6" fillId="0" borderId="0" xfId="0" applyFont="true" applyBorder="false" applyAlignment="false" applyProtection="false">
      <alignment horizontal="general" vertical="bottom" textRotation="0" wrapText="false" indent="0" shrinkToFit="false"/>
      <protection locked="true" hidden="false"/>
    </xf>
    <xf numFmtId="164" fontId="7" fillId="2" borderId="0" xfId="0" applyFont="true" applyBorder="false" applyAlignment="true" applyProtection="false">
      <alignment horizontal="center" vertical="center" textRotation="0" wrapText="true" indent="0" shrinkToFit="false"/>
      <protection locked="true" hidden="false"/>
    </xf>
    <xf numFmtId="165" fontId="8" fillId="0" borderId="0" xfId="0" applyFont="true" applyBorder="false" applyAlignment="false" applyProtection="false">
      <alignment horizontal="general" vertical="bottom" textRotation="0" wrapText="false" indent="0" shrinkToFit="false"/>
      <protection locked="true" hidden="false"/>
    </xf>
    <xf numFmtId="165" fontId="5" fillId="0" borderId="0" xfId="0" applyFont="true" applyBorder="false" applyAlignment="false" applyProtection="false">
      <alignment horizontal="general" vertical="bottom" textRotation="0" wrapText="false" indent="0" shrinkToFit="false"/>
      <protection locked="true" hidden="false"/>
    </xf>
    <xf numFmtId="164" fontId="9" fillId="3" borderId="0" xfId="0" applyFont="true" applyBorder="false" applyAlignment="false" applyProtection="false">
      <alignment horizontal="general" vertical="bottom" textRotation="0" wrapText="false" indent="0" shrinkToFit="false"/>
      <protection locked="true" hidden="false"/>
    </xf>
    <xf numFmtId="164" fontId="5" fillId="3" borderId="0" xfId="0" applyFont="true" applyBorder="false" applyAlignment="false" applyProtection="false">
      <alignment horizontal="general" vertical="bottom" textRotation="0" wrapText="false" indent="0" shrinkToFit="false"/>
      <protection locked="true" hidden="false"/>
    </xf>
    <xf numFmtId="166" fontId="8" fillId="0" borderId="0" xfId="0" applyFont="true" applyBorder="false" applyAlignment="false" applyProtection="false">
      <alignment horizontal="general" vertical="bottom" textRotation="0" wrapText="false" indent="0" shrinkToFit="false"/>
      <protection locked="true" hidden="false"/>
    </xf>
    <xf numFmtId="166" fontId="5" fillId="0" borderId="0" xfId="0" applyFont="true" applyBorder="false" applyAlignment="false" applyProtection="false">
      <alignment horizontal="general" vertical="bottom" textRotation="0" wrapText="false" indent="0" shrinkToFit="false"/>
      <protection locked="true" hidden="false"/>
    </xf>
    <xf numFmtId="164" fontId="6" fillId="0" borderId="0" xfId="0" applyFont="true" applyBorder="false" applyAlignment="true" applyProtection="false">
      <alignment horizontal="general" vertical="top" textRotation="0" wrapText="true" indent="0" shrinkToFit="false"/>
      <protection locked="true" hidden="false"/>
    </xf>
    <xf numFmtId="164" fontId="9" fillId="4" borderId="1" xfId="0" applyFont="true" applyBorder="true" applyAlignment="false" applyProtection="false">
      <alignment horizontal="general" vertical="bottom" textRotation="0" wrapText="false" indent="0" shrinkToFit="false"/>
      <protection locked="true" hidden="false"/>
    </xf>
    <xf numFmtId="166" fontId="9" fillId="4" borderId="1" xfId="0" applyFont="true" applyBorder="true" applyAlignment="false" applyProtection="false">
      <alignment horizontal="general" vertical="bottom" textRotation="0" wrapText="false" indent="0" shrinkToFit="false"/>
      <protection locked="true" hidden="false"/>
    </xf>
    <xf numFmtId="164" fontId="5" fillId="4" borderId="1" xfId="0" applyFont="true" applyBorder="true" applyAlignment="false" applyProtection="false">
      <alignment horizontal="general" vertical="bottom" textRotation="0" wrapText="false" indent="0" shrinkToFit="false"/>
      <protection locked="true" hidden="false"/>
    </xf>
    <xf numFmtId="167" fontId="5" fillId="0" borderId="0" xfId="0" applyFont="true" applyBorder="false" applyAlignment="false" applyProtection="false">
      <alignment horizontal="general" vertical="bottom" textRotation="0" wrapText="false" indent="0" shrinkToFit="false"/>
      <protection locked="true" hidden="false"/>
    </xf>
    <xf numFmtId="167" fontId="9" fillId="4" borderId="1" xfId="0" applyFont="true" applyBorder="true" applyAlignment="false" applyProtection="false">
      <alignment horizontal="general" vertical="bottom" textRotation="0" wrapText="false" indent="0" shrinkToFit="false"/>
      <protection locked="true" hidden="false"/>
    </xf>
    <xf numFmtId="164" fontId="6" fillId="4" borderId="1" xfId="0" applyFont="true" applyBorder="true" applyAlignment="true" applyProtection="false">
      <alignment horizontal="general" vertical="top" textRotation="0" wrapText="true" indent="0" shrinkToFit="false"/>
      <protection locked="true" hidden="false"/>
    </xf>
    <xf numFmtId="164" fontId="6" fillId="4" borderId="1" xfId="0" applyFont="true" applyBorder="true" applyAlignment="false" applyProtection="false">
      <alignment horizontal="general" vertical="bottom" textRotation="0" wrapText="false" indent="0" shrinkToFit="false"/>
      <protection locked="true" hidden="false"/>
    </xf>
    <xf numFmtId="164" fontId="9" fillId="0" borderId="0" xfId="0" applyFont="true" applyBorder="false" applyAlignment="false" applyProtection="false">
      <alignment horizontal="general" vertical="bottom" textRotation="0" wrapText="false" indent="0" shrinkToFit="false"/>
      <protection locked="true" hidden="false"/>
    </xf>
    <xf numFmtId="164" fontId="6" fillId="0" borderId="0" xfId="0" applyFont="true" applyBorder="true" applyAlignment="true" applyProtection="false">
      <alignment horizontal="general" vertical="top" textRotation="0" wrapText="true" indent="0" shrinkToFit="false"/>
      <protection locked="true" hidden="false"/>
    </xf>
    <xf numFmtId="165" fontId="10" fillId="5" borderId="0" xfId="0" applyFont="true" applyBorder="false" applyAlignment="false" applyProtection="false">
      <alignment horizontal="general" vertical="bottom" textRotation="0" wrapText="false" indent="0" shrinkToFit="false"/>
      <protection locked="true" hidden="false"/>
    </xf>
    <xf numFmtId="165" fontId="10" fillId="0" borderId="0" xfId="0" applyFont="true" applyBorder="false" applyAlignment="false" applyProtection="false">
      <alignment horizontal="general" vertical="bottom" textRotation="0" wrapText="false" indent="0" shrinkToFit="false"/>
      <protection locked="true" hidden="false"/>
    </xf>
    <xf numFmtId="166" fontId="10" fillId="5" borderId="0" xfId="0" applyFont="true" applyBorder="false" applyAlignment="false" applyProtection="false">
      <alignment horizontal="general" vertical="bottom" textRotation="0" wrapText="false" indent="0" shrinkToFit="false"/>
      <protection locked="true" hidden="false"/>
    </xf>
    <xf numFmtId="168" fontId="10" fillId="5" borderId="0" xfId="0" applyFont="true" applyBorder="false" applyAlignment="false" applyProtection="false">
      <alignment horizontal="general" vertical="bottom" textRotation="0" wrapText="false" indent="0" shrinkToFit="false"/>
      <protection locked="true" hidden="false"/>
    </xf>
    <xf numFmtId="169" fontId="10" fillId="5" borderId="0" xfId="0" applyFont="true" applyBorder="false" applyAlignment="false" applyProtection="false">
      <alignment horizontal="general" vertical="bottom" textRotation="0" wrapText="false" indent="0" shrinkToFit="false"/>
      <protection locked="true" hidden="false"/>
    </xf>
    <xf numFmtId="164" fontId="7" fillId="2" borderId="0" xfId="0" applyFont="true" applyBorder="false" applyAlignment="false" applyProtection="false">
      <alignment horizontal="general" vertical="bottom" textRotation="0" wrapText="false" indent="0" shrinkToFit="false"/>
      <protection locked="true" hidden="false"/>
    </xf>
    <xf numFmtId="170" fontId="10" fillId="5" borderId="0" xfId="0" applyFont="true" applyBorder="false" applyAlignment="false" applyProtection="false">
      <alignment horizontal="general" vertical="bottom" textRotation="0" wrapText="false" indent="0" shrinkToFit="false"/>
      <protection locked="true" hidden="false"/>
    </xf>
    <xf numFmtId="169" fontId="10" fillId="0" borderId="0" xfId="0" applyFont="true" applyBorder="false" applyAlignment="false" applyProtection="false">
      <alignment horizontal="general" vertical="bottom" textRotation="0" wrapText="false" indent="0" shrinkToFit="false"/>
      <protection locked="true" hidden="false"/>
    </xf>
    <xf numFmtId="171" fontId="10" fillId="0" borderId="0" xfId="0" applyFont="true" applyBorder="false" applyAlignment="false" applyProtection="false">
      <alignment horizontal="general" vertical="bottom" textRotation="0" wrapText="false" indent="0" shrinkToFit="false"/>
      <protection locked="true" hidden="false"/>
    </xf>
    <xf numFmtId="167" fontId="10" fillId="0" borderId="0" xfId="0" applyFont="true" applyBorder="false" applyAlignment="false" applyProtection="false">
      <alignment horizontal="general" vertical="bottom" textRotation="0" wrapText="false" indent="0" shrinkToFit="false"/>
      <protection locked="true" hidden="false"/>
    </xf>
    <xf numFmtId="167" fontId="10" fillId="5" borderId="0" xfId="0" applyFont="true" applyBorder="false" applyAlignment="false" applyProtection="false">
      <alignment horizontal="general" vertical="bottom" textRotation="0" wrapText="false" indent="0" shrinkToFit="false"/>
      <protection locked="true" hidden="false"/>
    </xf>
    <xf numFmtId="166" fontId="10" fillId="0" borderId="0" xfId="0" applyFont="true" applyBorder="false" applyAlignment="false" applyProtection="false">
      <alignment horizontal="general" vertical="bottom" textRotation="0" wrapText="false" indent="0" shrinkToFit="false"/>
      <protection locked="true" hidden="false"/>
    </xf>
    <xf numFmtId="172" fontId="10" fillId="0" borderId="0" xfId="0" applyFont="true" applyBorder="false" applyAlignment="false" applyProtection="false">
      <alignment horizontal="general" vertical="bottom" textRotation="0" wrapText="false" indent="0" shrinkToFit="false"/>
      <protection locked="true" hidden="false"/>
    </xf>
    <xf numFmtId="173" fontId="10" fillId="0" borderId="0" xfId="0" applyFont="true" applyBorder="false" applyAlignment="false" applyProtection="false">
      <alignment horizontal="general" vertical="bottom" textRotation="0" wrapText="false" indent="0" shrinkToFit="false"/>
      <protection locked="true" hidden="false"/>
    </xf>
    <xf numFmtId="164" fontId="10" fillId="0" borderId="0" xfId="0" applyFont="true" applyBorder="false" applyAlignment="false" applyProtection="false">
      <alignment horizontal="general" vertical="bottom" textRotation="0" wrapText="false" indent="0" shrinkToFit="false"/>
      <protection locked="true" hidden="false"/>
    </xf>
    <xf numFmtId="168" fontId="10" fillId="0" borderId="0" xfId="0" applyFont="true" applyBorder="false" applyAlignment="false" applyProtection="false">
      <alignment horizontal="general" vertical="bottom" textRotation="0" wrapText="false" indent="0" shrinkToFit="false"/>
      <protection locked="true" hidden="false"/>
    </xf>
    <xf numFmtId="168" fontId="5" fillId="0" borderId="0" xfId="0" applyFont="true" applyBorder="false" applyAlignment="false" applyProtection="false">
      <alignment horizontal="general" vertical="bottom" textRotation="0" wrapText="false" indent="0" shrinkToFit="false"/>
      <protection locked="true" hidden="false"/>
    </xf>
    <xf numFmtId="172" fontId="5" fillId="0" borderId="0" xfId="0" applyFont="true" applyBorder="false" applyAlignment="false" applyProtection="false">
      <alignment horizontal="general" vertical="bottom" textRotation="0" wrapText="false" indent="0" shrinkToFit="false"/>
      <protection locked="true" hidden="false"/>
    </xf>
    <xf numFmtId="164" fontId="11" fillId="0" borderId="0" xfId="0" applyFont="true" applyBorder="false" applyAlignment="false" applyProtection="false">
      <alignment horizontal="general" vertical="bottom" textRotation="0" wrapText="false" indent="0" shrinkToFit="false"/>
      <protection locked="true" hidden="false"/>
    </xf>
    <xf numFmtId="165" fontId="9" fillId="4" borderId="1" xfId="0" applyFont="true" applyBorder="true" applyAlignment="false" applyProtection="false">
      <alignment horizontal="general" vertical="bottom" textRotation="0" wrapText="false" indent="0" shrinkToFit="false"/>
      <protection locked="true" hidden="false"/>
    </xf>
    <xf numFmtId="164" fontId="5" fillId="0" borderId="0" xfId="0" applyFont="true" applyBorder="false" applyAlignment="true" applyProtection="false">
      <alignment horizontal="general" vertical="bottom" textRotation="0" wrapText="true" indent="0" shrinkToFit="false"/>
      <protection locked="true" hidden="false"/>
    </xf>
    <xf numFmtId="164" fontId="6" fillId="0" borderId="0" xfId="0" applyFont="true" applyBorder="false" applyAlignment="true" applyProtection="false">
      <alignment horizontal="general" vertical="bottom" textRotation="0" wrapText="tru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dxfs count="4">
    <dxf>
      <fill>
        <patternFill patternType="solid">
          <fgColor rgb="FF1F3A5F"/>
          <bgColor rgb="FF000000"/>
        </patternFill>
      </fill>
    </dxf>
    <dxf>
      <fill>
        <patternFill patternType="solid">
          <bgColor rgb="FF000000"/>
        </patternFill>
      </fill>
    </dxf>
    <dxf>
      <fill>
        <patternFill patternType="solid">
          <fgColor rgb="FFFFFFFF"/>
          <bgColor rgb="FF000000"/>
        </patternFill>
      </fill>
    </dxf>
    <dxf>
      <fill>
        <patternFill patternType="solid">
          <fgColor rgb="FF0000FF"/>
          <bgColor rgb="FF000000"/>
        </patternFill>
      </fill>
    </dxf>
  </dxf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B7C3D0"/>
      <rgbColor rgb="FF808080"/>
      <rgbColor rgb="FF9999FF"/>
      <rgbColor rgb="FF993366"/>
      <rgbColor rgb="FFEEF2F7"/>
      <rgbColor rgb="FFDCE6F0"/>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555555"/>
      <rgbColor rgb="FF969696"/>
      <rgbColor rgb="FF1F3A5F"/>
      <rgbColor rgb="FF339966"/>
      <rgbColor rgb="FF003300"/>
      <rgbColor rgb="FF333300"/>
      <rgbColor rgb="FF993300"/>
      <rgbColor rgb="FF993366"/>
      <rgbColor rgb="FF333399"/>
      <rgbColor rgb="FF333333"/>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worksheet" Target="worksheets/sheet6.xml"/><Relationship Id="rId9" Type="http://schemas.openxmlformats.org/officeDocument/2006/relationships/worksheet" Target="worksheets/sheet7.xml"/><Relationship Id="rId10" Type="http://schemas.openxmlformats.org/officeDocument/2006/relationships/worksheet" Target="worksheets/sheet8.xml"/><Relationship Id="rId11" Type="http://schemas.openxmlformats.org/officeDocument/2006/relationships/sharedStrings" Target="sharedStrings.xml"/>
</Relationships>
</file>

<file path=xl/drawings/drawing1.xml><?xml version="1.0" encoding="utf-8"?>
<xdr:wsDr xmlns:xdr="http://schemas.openxmlformats.org/drawingml/2006/spreadsheetDrawing" xmlns:a="http://schemas.openxmlformats.org/drawingml/2006/main" xmlns:r="http://schemas.openxmlformats.org/officeDocument/2006/relationships"/>
</file>

<file path=xl/drawings/drawing2.xml><?xml version="1.0" encoding="utf-8"?>
<xdr:wsDr xmlns:xdr="http://schemas.openxmlformats.org/drawingml/2006/spreadsheetDrawing" xmlns:a="http://schemas.openxmlformats.org/drawingml/2006/main" xmlns:r="http://schemas.openxmlformats.org/officeDocument/2006/relationships"/>
</file>

<file path=xl/drawings/drawing3.xml><?xml version="1.0" encoding="utf-8"?>
<xdr:wsDr xmlns:xdr="http://schemas.openxmlformats.org/drawingml/2006/spreadsheetDrawing" xmlns:a="http://schemas.openxmlformats.org/drawingml/2006/main" xmlns:r="http://schemas.openxmlformats.org/officeDocument/2006/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_rels/sheet5.xml.rels><?xml version="1.0" encoding="UTF-8"?>
<Relationships xmlns="http://schemas.openxmlformats.org/package/2006/relationships"><Relationship Id="rId1" Type="http://schemas.openxmlformats.org/officeDocument/2006/relationships/drawing" Target="../drawings/drawing1.xml"/>
</Relationships>
</file>

<file path=xl/worksheets/_rels/sheet6.xml.rels><?xml version="1.0" encoding="UTF-8"?>
<Relationships xmlns="http://schemas.openxmlformats.org/package/2006/relationships"><Relationship Id="rId1" Type="http://schemas.openxmlformats.org/officeDocument/2006/relationships/drawing" Target="../drawings/drawing2.xml"/>
</Relationships>
</file>

<file path=xl/worksheets/_rels/sheet7.xml.rels><?xml version="1.0" encoding="UTF-8"?>
<Relationships xmlns="http://schemas.openxmlformats.org/package/2006/relationships"><Relationship Id="rId1" Type="http://schemas.openxmlformats.org/officeDocument/2006/relationships/drawing" Target="../drawings/drawing3.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F43"/>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pane xSplit="1" ySplit="4" topLeftCell="B5" activePane="bottomRight" state="frozen"/>
      <selection pane="topLeft" activeCell="A1" activeCellId="0" sqref="A1"/>
      <selection pane="topRight" activeCell="B1" activeCellId="0" sqref="B1"/>
      <selection pane="bottomLeft" activeCell="A5" activeCellId="0" sqref="A5"/>
      <selection pane="bottomRight" activeCell="A1" activeCellId="0" sqref="A1"/>
    </sheetView>
  </sheetViews>
  <sheetFormatPr defaultColWidth="8.6796875" defaultRowHeight="15" zeroHeight="false" outlineLevelRow="0" outlineLevelCol="0"/>
  <cols>
    <col collapsed="false" customWidth="true" hidden="false" outlineLevel="0" max="1" min="1" style="0" width="52"/>
    <col collapsed="false" customWidth="true" hidden="false" outlineLevel="0" max="4" min="2" style="0" width="15"/>
    <col collapsed="false" customWidth="true" hidden="false" outlineLevel="0" max="5" min="5" style="0" width="16"/>
    <col collapsed="false" customWidth="true" hidden="false" outlineLevel="0" max="6" min="6" style="0" width="70"/>
  </cols>
  <sheetData>
    <row r="1" customFormat="false" ht="17.35" hidden="false" customHeight="false" outlineLevel="0" collapsed="false">
      <c r="A1" s="1" t="s">
        <v>0</v>
      </c>
      <c r="B1" s="2"/>
      <c r="C1" s="2"/>
      <c r="D1" s="2"/>
      <c r="E1" s="2"/>
      <c r="F1" s="2"/>
    </row>
    <row r="2" customFormat="false" ht="15" hidden="false" customHeight="false" outlineLevel="0" collapsed="false">
      <c r="A2" s="3" t="s">
        <v>1</v>
      </c>
      <c r="B2" s="2"/>
      <c r="C2" s="2"/>
      <c r="D2" s="2"/>
      <c r="E2" s="2"/>
      <c r="F2" s="2"/>
    </row>
    <row r="3" customFormat="false" ht="15" hidden="false" customHeight="false" outlineLevel="0" collapsed="false">
      <c r="A3" s="2"/>
      <c r="B3" s="2"/>
      <c r="C3" s="2"/>
      <c r="D3" s="2"/>
      <c r="E3" s="2"/>
      <c r="F3" s="2"/>
    </row>
    <row r="4" customFormat="false" ht="15" hidden="false" customHeight="false" outlineLevel="0" collapsed="false">
      <c r="A4" s="4" t="s">
        <v>2</v>
      </c>
      <c r="B4" s="4" t="s">
        <v>3</v>
      </c>
      <c r="C4" s="4" t="s">
        <v>4</v>
      </c>
      <c r="D4" s="4" t="s">
        <v>5</v>
      </c>
      <c r="E4" s="4" t="s">
        <v>6</v>
      </c>
      <c r="F4" s="4" t="s">
        <v>7</v>
      </c>
    </row>
    <row r="5" customFormat="false" ht="15" hidden="false" customHeight="false" outlineLevel="0" collapsed="false">
      <c r="A5" s="2" t="s">
        <v>8</v>
      </c>
      <c r="B5" s="5" t="n">
        <f aca="false">Supuestos!B$5</f>
        <v>135</v>
      </c>
      <c r="C5" s="5" t="n">
        <f aca="false">Supuestos!C$5</f>
        <v>365</v>
      </c>
      <c r="D5" s="5" t="n">
        <f aca="false">Supuestos!D$5</f>
        <v>60</v>
      </c>
      <c r="E5" s="6" t="n">
        <f aca="false">SUM(B5:D5)</f>
        <v>560</v>
      </c>
      <c r="F5" s="2"/>
    </row>
    <row r="6" customFormat="false" ht="15" hidden="false" customHeight="false" outlineLevel="0" collapsed="false">
      <c r="A6" s="7" t="s">
        <v>9</v>
      </c>
      <c r="B6" s="8"/>
      <c r="C6" s="8"/>
      <c r="D6" s="8"/>
      <c r="E6" s="8"/>
      <c r="F6" s="8"/>
    </row>
    <row r="7" customFormat="false" ht="15" hidden="false" customHeight="false" outlineLevel="0" collapsed="false">
      <c r="A7" s="2" t="s">
        <v>10</v>
      </c>
      <c r="B7" s="9" t="n">
        <f aca="false">BOM_V56!$S$101</f>
        <v>6226.697495</v>
      </c>
      <c r="C7" s="9" t="n">
        <f aca="false">BOM_V57!$S$110</f>
        <v>16096.10661</v>
      </c>
      <c r="D7" s="9" t="n">
        <f aca="false">BOM_v6!$S$131</f>
        <v>8800.414015</v>
      </c>
      <c r="E7" s="10" t="n">
        <f aca="false">SUM(B7:D7)</f>
        <v>31123.21812</v>
      </c>
      <c r="F7" s="11" t="s">
        <v>11</v>
      </c>
    </row>
    <row r="8" customFormat="false" ht="15" hidden="false" customHeight="false" outlineLevel="0" collapsed="false">
      <c r="A8" s="2" t="s">
        <v>12</v>
      </c>
      <c r="B8" s="10" t="n">
        <f aca="false">B7*Supuestos!$B$15</f>
        <v>0</v>
      </c>
      <c r="C8" s="10" t="n">
        <f aca="false">C7*Supuestos!$B$15</f>
        <v>0</v>
      </c>
      <c r="D8" s="10" t="n">
        <f aca="false">D7*Supuestos!$B$15</f>
        <v>0</v>
      </c>
      <c r="E8" s="10" t="n">
        <f aca="false">SUM(B8:D8)</f>
        <v>0</v>
      </c>
      <c r="F8" s="11" t="s">
        <v>13</v>
      </c>
    </row>
    <row r="9" customFormat="false" ht="15" hidden="false" customHeight="false" outlineLevel="0" collapsed="false">
      <c r="A9" s="2" t="s">
        <v>14</v>
      </c>
      <c r="B9" s="9" t="n">
        <f aca="false">Supuestos!B$7</f>
        <v>400.92</v>
      </c>
      <c r="C9" s="9" t="n">
        <f aca="false">Supuestos!C$7</f>
        <v>956.54</v>
      </c>
      <c r="D9" s="9" t="n">
        <f aca="false">Supuestos!D$7</f>
        <v>234.25</v>
      </c>
      <c r="E9" s="10" t="n">
        <f aca="false">SUM(B9:D9)</f>
        <v>1591.71</v>
      </c>
      <c r="F9" s="11" t="s">
        <v>15</v>
      </c>
    </row>
    <row r="10" customFormat="false" ht="15" hidden="false" customHeight="false" outlineLevel="0" collapsed="false">
      <c r="A10" s="2" t="s">
        <v>16</v>
      </c>
      <c r="B10" s="9" t="n">
        <f aca="false">Ensamble!B$21</f>
        <v>704.5945</v>
      </c>
      <c r="C10" s="9" t="n">
        <f aca="false">Ensamble!C$21</f>
        <v>1446.727</v>
      </c>
      <c r="D10" s="9" t="n">
        <f aca="false">Ensamble!D$21</f>
        <v>531.068</v>
      </c>
      <c r="E10" s="10" t="n">
        <f aca="false">SUM(B10:D10)</f>
        <v>2682.3895</v>
      </c>
      <c r="F10" s="11" t="s">
        <v>17</v>
      </c>
    </row>
    <row r="11" customFormat="false" ht="15" hidden="false" customHeight="false" outlineLevel="0" collapsed="false">
      <c r="A11" s="12" t="s">
        <v>18</v>
      </c>
      <c r="B11" s="13" t="n">
        <f aca="false">SUM(B7:B10)</f>
        <v>7332.211995</v>
      </c>
      <c r="C11" s="13" t="n">
        <f aca="false">SUM(C7:C10)</f>
        <v>18499.37361</v>
      </c>
      <c r="D11" s="13" t="n">
        <f aca="false">SUM(D7:D10)</f>
        <v>9565.732015</v>
      </c>
      <c r="E11" s="13" t="n">
        <f aca="false">SUM(B11:D11)</f>
        <v>35397.31762</v>
      </c>
      <c r="F11" s="14"/>
    </row>
    <row r="12" customFormat="false" ht="15" hidden="false" customHeight="false" outlineLevel="0" collapsed="false">
      <c r="A12" s="2" t="s">
        <v>19</v>
      </c>
      <c r="B12" s="9" t="n">
        <f aca="false">Envio!B$14</f>
        <v>160.654311050478</v>
      </c>
      <c r="C12" s="9" t="n">
        <f aca="false">Envio!C$14</f>
        <v>409.481019989749</v>
      </c>
      <c r="D12" s="9" t="n">
        <f aca="false">Envio!D$14</f>
        <v>90.4662295081967</v>
      </c>
      <c r="E12" s="10" t="n">
        <f aca="false">SUM(B12:D12)</f>
        <v>660.601560548423</v>
      </c>
      <c r="F12" s="11" t="s">
        <v>20</v>
      </c>
    </row>
    <row r="13" customFormat="false" ht="15" hidden="false" customHeight="false" outlineLevel="0" collapsed="false">
      <c r="A13" s="12" t="s">
        <v>21</v>
      </c>
      <c r="B13" s="13" t="n">
        <f aca="false">B11+B12</f>
        <v>7492.86630605048</v>
      </c>
      <c r="C13" s="13" t="n">
        <f aca="false">C11+C12</f>
        <v>18908.8546299897</v>
      </c>
      <c r="D13" s="13" t="n">
        <f aca="false">D11+D12</f>
        <v>9656.1982445082</v>
      </c>
      <c r="E13" s="13" t="n">
        <f aca="false">SUM(B13:D13)</f>
        <v>36057.9191805484</v>
      </c>
      <c r="F13" s="14"/>
    </row>
    <row r="14" customFormat="false" ht="15" hidden="false" customHeight="false" outlineLevel="0" collapsed="false">
      <c r="A14" s="7" t="s">
        <v>22</v>
      </c>
      <c r="B14" s="8"/>
      <c r="C14" s="8"/>
      <c r="D14" s="8"/>
      <c r="E14" s="8"/>
      <c r="F14" s="8"/>
    </row>
    <row r="15" customFormat="false" ht="22.35" hidden="false" customHeight="false" outlineLevel="0" collapsed="false">
      <c r="A15" s="2" t="s">
        <v>23</v>
      </c>
      <c r="B15" s="10" t="n">
        <f aca="false">B13+B11*Supuestos!$B$21</f>
        <v>7492.86630605048</v>
      </c>
      <c r="C15" s="10" t="n">
        <f aca="false">C13+C11*Supuestos!$B$21</f>
        <v>18908.8546299897</v>
      </c>
      <c r="D15" s="10" t="n">
        <f aca="false">D13+D11*Supuestos!$B$21</f>
        <v>9656.1982445082</v>
      </c>
      <c r="E15" s="10" t="n">
        <f aca="false">SUM(B15:D15)</f>
        <v>36057.9191805484</v>
      </c>
      <c r="F15" s="11" t="s">
        <v>24</v>
      </c>
    </row>
    <row r="16" customFormat="false" ht="15" hidden="false" customHeight="false" outlineLevel="0" collapsed="false">
      <c r="A16" s="2" t="s">
        <v>25</v>
      </c>
      <c r="B16" s="15" t="n">
        <f aca="false">B15*Supuestos!$B$13</f>
        <v>140116.599923144</v>
      </c>
      <c r="C16" s="15" t="n">
        <f aca="false">C15*Supuestos!$B$13</f>
        <v>353595.581580808</v>
      </c>
      <c r="D16" s="15" t="n">
        <f aca="false">D15*Supuestos!$B$13</f>
        <v>180570.907172303</v>
      </c>
      <c r="E16" s="15" t="n">
        <f aca="false">SUM(B16:D16)</f>
        <v>674283.088676255</v>
      </c>
      <c r="F16" s="2"/>
    </row>
    <row r="17" customFormat="false" ht="15" hidden="false" customHeight="false" outlineLevel="0" collapsed="false">
      <c r="A17" s="2" t="s">
        <v>26</v>
      </c>
      <c r="B17" s="15" t="n">
        <f aca="false">B16*Supuestos!B$10</f>
        <v>0</v>
      </c>
      <c r="C17" s="15" t="n">
        <f aca="false">C16*Supuestos!C$10</f>
        <v>0</v>
      </c>
      <c r="D17" s="15" t="n">
        <f aca="false">D16*Supuestos!D$10</f>
        <v>0</v>
      </c>
      <c r="E17" s="15" t="n">
        <f aca="false">SUM(B17:D17)</f>
        <v>0</v>
      </c>
      <c r="F17" s="11" t="s">
        <v>27</v>
      </c>
    </row>
    <row r="18" customFormat="false" ht="15" hidden="false" customHeight="false" outlineLevel="0" collapsed="false">
      <c r="A18" s="2" t="s">
        <v>28</v>
      </c>
      <c r="B18" s="15" t="n">
        <f aca="false">MAX(B16*Supuestos!$B$22,Supuestos!$B$23)</f>
        <v>1120.93279938515</v>
      </c>
      <c r="C18" s="15" t="n">
        <f aca="false">MAX(C16*Supuestos!$B$22,Supuestos!$B$23)</f>
        <v>2828.76465264647</v>
      </c>
      <c r="D18" s="15" t="n">
        <f aca="false">MAX(D16*Supuestos!$B$22,Supuestos!$B$23)</f>
        <v>1444.56725737843</v>
      </c>
      <c r="E18" s="15" t="n">
        <f aca="false">SUM(B18:D18)</f>
        <v>5394.26470941004</v>
      </c>
      <c r="F18" s="2"/>
    </row>
    <row r="19" customFormat="false" ht="15" hidden="false" customHeight="false" outlineLevel="0" collapsed="false">
      <c r="A19" s="2" t="s">
        <v>29</v>
      </c>
      <c r="B19" s="15" t="n">
        <f aca="false">Supuestos!$B$24</f>
        <v>350</v>
      </c>
      <c r="C19" s="15" t="n">
        <f aca="false">Supuestos!$B$24</f>
        <v>350</v>
      </c>
      <c r="D19" s="15" t="n">
        <f aca="false">Supuestos!$B$24</f>
        <v>350</v>
      </c>
      <c r="E19" s="15" t="n">
        <f aca="false">SUM(B19:D19)</f>
        <v>1050</v>
      </c>
      <c r="F19" s="2"/>
    </row>
    <row r="20" customFormat="false" ht="15" hidden="false" customHeight="false" outlineLevel="0" collapsed="false">
      <c r="A20" s="2" t="s">
        <v>30</v>
      </c>
      <c r="B20" s="15" t="n">
        <f aca="false">Supuestos!$B$26</f>
        <v>6500</v>
      </c>
      <c r="C20" s="15" t="n">
        <f aca="false">Supuestos!$B$26</f>
        <v>6500</v>
      </c>
      <c r="D20" s="15" t="n">
        <f aca="false">Supuestos!$B$26</f>
        <v>6500</v>
      </c>
      <c r="E20" s="15" t="n">
        <f aca="false">SUM(B20:D20)</f>
        <v>19500</v>
      </c>
      <c r="F20" s="11" t="s">
        <v>31</v>
      </c>
    </row>
    <row r="21" customFormat="false" ht="15" hidden="false" customHeight="false" outlineLevel="0" collapsed="false">
      <c r="A21" s="2" t="s">
        <v>32</v>
      </c>
      <c r="B21" s="15" t="n">
        <f aca="false">Supuestos!$B$27*Supuestos!$B$13</f>
        <v>935</v>
      </c>
      <c r="C21" s="15" t="n">
        <f aca="false">Supuestos!$B$27*Supuestos!$B$13</f>
        <v>935</v>
      </c>
      <c r="D21" s="15" t="n">
        <f aca="false">Supuestos!$B$27*Supuestos!$B$13</f>
        <v>935</v>
      </c>
      <c r="E21" s="15" t="n">
        <f aca="false">SUM(B21:D21)</f>
        <v>2805</v>
      </c>
      <c r="F21" s="2"/>
    </row>
    <row r="22" customFormat="false" ht="15" hidden="false" customHeight="false" outlineLevel="0" collapsed="false">
      <c r="A22" s="12" t="s">
        <v>33</v>
      </c>
      <c r="B22" s="16" t="n">
        <f aca="false">SUM(B17:B21)</f>
        <v>8905.93279938515</v>
      </c>
      <c r="C22" s="16" t="n">
        <f aca="false">SUM(C17:C21)</f>
        <v>10613.7646526465</v>
      </c>
      <c r="D22" s="16" t="n">
        <f aca="false">SUM(D17:D21)</f>
        <v>9229.56725737843</v>
      </c>
      <c r="E22" s="16" t="n">
        <f aca="false">SUM(B22:D22)</f>
        <v>28749.26470941</v>
      </c>
      <c r="F22" s="14"/>
    </row>
    <row r="23" customFormat="false" ht="15" hidden="false" customHeight="false" outlineLevel="0" collapsed="false">
      <c r="A23" s="2" t="s">
        <v>34</v>
      </c>
      <c r="B23" s="15" t="n">
        <f aca="false">(B16+B17+B18)*Supuestos!$B$25+(B19+B20)*Supuestos!$B$25</f>
        <v>23694.0052356047</v>
      </c>
      <c r="C23" s="15" t="n">
        <f aca="false">(C16+C17+C18)*Supuestos!$B$25+(C19+C20)*Supuestos!$B$25</f>
        <v>58123.8953973527</v>
      </c>
      <c r="D23" s="15" t="n">
        <f aca="false">(D16+D17+D18)*Supuestos!$B$25+(D19+D20)*Supuestos!$B$25</f>
        <v>30218.4759087491</v>
      </c>
      <c r="E23" s="15" t="n">
        <f aca="false">SUM(B23:D23)</f>
        <v>112036.376541706</v>
      </c>
      <c r="F23" s="11" t="s">
        <v>35</v>
      </c>
    </row>
    <row r="24" customFormat="false" ht="15" hidden="false" customHeight="false" outlineLevel="0" collapsed="false">
      <c r="A24" s="7" t="s">
        <v>36</v>
      </c>
      <c r="B24" s="8"/>
      <c r="C24" s="8"/>
      <c r="D24" s="8"/>
      <c r="E24" s="8"/>
      <c r="F24" s="8"/>
    </row>
    <row r="25" customFormat="false" ht="15" hidden="false" customHeight="false" outlineLevel="0" collapsed="false">
      <c r="A25" s="12" t="s">
        <v>37</v>
      </c>
      <c r="B25" s="16" t="n">
        <f aca="false">B13*Supuestos!$B$13+B22</f>
        <v>149022.532722529</v>
      </c>
      <c r="C25" s="16" t="n">
        <f aca="false">C13*Supuestos!$B$13+C22</f>
        <v>364209.346233455</v>
      </c>
      <c r="D25" s="16" t="n">
        <f aca="false">D13*Supuestos!$B$13+D22</f>
        <v>189800.474429682</v>
      </c>
      <c r="E25" s="16" t="n">
        <f aca="false">SUM(B25:D25)</f>
        <v>703032.353385666</v>
      </c>
      <c r="F25" s="14"/>
    </row>
    <row r="26" customFormat="false" ht="15" hidden="false" customHeight="false" outlineLevel="0" collapsed="false">
      <c r="A26" s="2" t="s">
        <v>38</v>
      </c>
      <c r="B26" s="10" t="n">
        <f aca="false">B25/Supuestos!$B$13</f>
        <v>7969.11939692669</v>
      </c>
      <c r="C26" s="10" t="n">
        <f aca="false">C25/Supuestos!$B$13</f>
        <v>19476.4356274575</v>
      </c>
      <c r="D26" s="10" t="n">
        <f aca="false">D25/Supuestos!$B$13</f>
        <v>10149.7579908921</v>
      </c>
      <c r="E26" s="10" t="n">
        <f aca="false">SUM(B26:D26)</f>
        <v>37595.3130152762</v>
      </c>
      <c r="F26" s="2"/>
    </row>
    <row r="27" customFormat="false" ht="15" hidden="false" customHeight="false" outlineLevel="0" collapsed="false">
      <c r="A27" s="12" t="s">
        <v>39</v>
      </c>
      <c r="B27" s="16" t="n">
        <f aca="false">B25+B23</f>
        <v>172716.537958134</v>
      </c>
      <c r="C27" s="16" t="n">
        <f aca="false">C25+C23</f>
        <v>422333.241630807</v>
      </c>
      <c r="D27" s="16" t="n">
        <f aca="false">D25+D23</f>
        <v>220018.950338431</v>
      </c>
      <c r="E27" s="16" t="n">
        <f aca="false">SUM(B27:D27)</f>
        <v>815068.729927372</v>
      </c>
      <c r="F27" s="17" t="s">
        <v>40</v>
      </c>
    </row>
    <row r="28" customFormat="false" ht="15" hidden="false" customHeight="false" outlineLevel="0" collapsed="false">
      <c r="A28" s="7" t="s">
        <v>41</v>
      </c>
      <c r="B28" s="8"/>
      <c r="C28" s="8"/>
      <c r="D28" s="8"/>
      <c r="E28" s="8"/>
      <c r="F28" s="8"/>
    </row>
    <row r="29" customFormat="false" ht="15" hidden="false" customHeight="false" outlineLevel="0" collapsed="false">
      <c r="A29" s="2" t="s">
        <v>42</v>
      </c>
      <c r="B29" s="10" t="n">
        <f aca="false">B11/B5</f>
        <v>54.3126814444445</v>
      </c>
      <c r="C29" s="10" t="n">
        <f aca="false">C11/C5</f>
        <v>50.683215369863</v>
      </c>
      <c r="D29" s="10" t="n">
        <f aca="false">D11/D5</f>
        <v>159.428866916667</v>
      </c>
      <c r="E29" s="2"/>
      <c r="F29" s="2"/>
    </row>
    <row r="30" customFormat="false" ht="15" hidden="false" customHeight="false" outlineLevel="0" collapsed="false">
      <c r="A30" s="12" t="s">
        <v>43</v>
      </c>
      <c r="B30" s="13" t="n">
        <f aca="false">B26/B5</f>
        <v>59.0305140513088</v>
      </c>
      <c r="C30" s="13" t="n">
        <f aca="false">C26/C5</f>
        <v>53.3600976094725</v>
      </c>
      <c r="D30" s="13" t="n">
        <f aca="false">D26/D5</f>
        <v>169.162633181535</v>
      </c>
      <c r="E30" s="13" t="n">
        <f aca="false">E26/E5</f>
        <v>67.134487527279</v>
      </c>
      <c r="F30" s="18" t="s">
        <v>44</v>
      </c>
    </row>
    <row r="31" customFormat="false" ht="15" hidden="false" customHeight="false" outlineLevel="0" collapsed="false">
      <c r="A31" s="12" t="s">
        <v>45</v>
      </c>
      <c r="B31" s="16" t="n">
        <f aca="false">B25/B5</f>
        <v>1103.87061275947</v>
      </c>
      <c r="C31" s="16" t="n">
        <f aca="false">C25/C5</f>
        <v>997.833825297136</v>
      </c>
      <c r="D31" s="16" t="n">
        <f aca="false">D25/D5</f>
        <v>3163.3412404947</v>
      </c>
      <c r="E31" s="16" t="n">
        <f aca="false">E25/E5</f>
        <v>1255.41491676012</v>
      </c>
      <c r="F31" s="14"/>
    </row>
    <row r="32" customFormat="false" ht="15" hidden="false" customHeight="false" outlineLevel="0" collapsed="false">
      <c r="A32" s="2" t="s">
        <v>46</v>
      </c>
      <c r="B32" s="15" t="n">
        <f aca="false">B27/B5</f>
        <v>1279.38176265284</v>
      </c>
      <c r="C32" s="15" t="n">
        <f aca="false">C27/C5</f>
        <v>1157.07737433098</v>
      </c>
      <c r="D32" s="15" t="n">
        <f aca="false">D27/D5</f>
        <v>3666.98250564051</v>
      </c>
      <c r="E32" s="2"/>
      <c r="F32" s="2"/>
    </row>
    <row r="33" customFormat="false" ht="15" hidden="false" customHeight="false" outlineLevel="0" collapsed="false">
      <c r="A33" s="7" t="s">
        <v>47</v>
      </c>
      <c r="B33" s="8"/>
      <c r="C33" s="8"/>
      <c r="D33" s="8"/>
      <c r="E33" s="8"/>
      <c r="F33" s="8"/>
    </row>
    <row r="34" customFormat="false" ht="15" hidden="false" customHeight="false" outlineLevel="0" collapsed="false">
      <c r="A34" s="2" t="s">
        <v>48</v>
      </c>
      <c r="B34" s="10" t="n">
        <f aca="false">(B7+B8)/B5</f>
        <v>46.1236851481482</v>
      </c>
      <c r="C34" s="10" t="n">
        <f aca="false">(C7+C8)/C5</f>
        <v>44.0989222191781</v>
      </c>
      <c r="D34" s="10" t="n">
        <f aca="false">(D7+D8)/D5</f>
        <v>146.673566916667</v>
      </c>
      <c r="E34" s="2"/>
      <c r="F34" s="2"/>
    </row>
    <row r="35" customFormat="false" ht="15" hidden="false" customHeight="false" outlineLevel="0" collapsed="false">
      <c r="A35" s="2" t="s">
        <v>49</v>
      </c>
      <c r="B35" s="10" t="n">
        <f aca="false">B9/B5</f>
        <v>2.96977777777778</v>
      </c>
      <c r="C35" s="10" t="n">
        <f aca="false">C9/C5</f>
        <v>2.62065753424658</v>
      </c>
      <c r="D35" s="10" t="n">
        <f aca="false">D9/D5</f>
        <v>3.90416666666667</v>
      </c>
      <c r="E35" s="2"/>
      <c r="F35" s="2"/>
    </row>
    <row r="36" customFormat="false" ht="15" hidden="false" customHeight="false" outlineLevel="0" collapsed="false">
      <c r="A36" s="2" t="s">
        <v>50</v>
      </c>
      <c r="B36" s="10" t="n">
        <f aca="false">B10/B5</f>
        <v>5.21921851851852</v>
      </c>
      <c r="C36" s="10" t="n">
        <f aca="false">C10/C5</f>
        <v>3.96363561643836</v>
      </c>
      <c r="D36" s="10" t="n">
        <f aca="false">D10/D5</f>
        <v>8.85113333333334</v>
      </c>
      <c r="E36" s="2"/>
      <c r="F36" s="2"/>
    </row>
    <row r="37" customFormat="false" ht="15" hidden="false" customHeight="false" outlineLevel="0" collapsed="false">
      <c r="A37" s="2" t="s">
        <v>51</v>
      </c>
      <c r="B37" s="10" t="n">
        <f aca="false">B12/B5</f>
        <v>1.19003193370724</v>
      </c>
      <c r="C37" s="10" t="n">
        <f aca="false">C12/C5</f>
        <v>1.12186580819109</v>
      </c>
      <c r="D37" s="10" t="n">
        <f aca="false">D12/D5</f>
        <v>1.50777049180328</v>
      </c>
      <c r="E37" s="2"/>
      <c r="F37" s="2"/>
    </row>
    <row r="38" customFormat="false" ht="15" hidden="false" customHeight="false" outlineLevel="0" collapsed="false">
      <c r="A38" s="2" t="s">
        <v>52</v>
      </c>
      <c r="B38" s="10" t="n">
        <f aca="false">B22/Supuestos!$B$13/B5</f>
        <v>3.52780067315712</v>
      </c>
      <c r="C38" s="10" t="n">
        <f aca="false">C22/Supuestos!$B$13/C5</f>
        <v>1.55501643141843</v>
      </c>
      <c r="D38" s="10" t="n">
        <f aca="false">D22/Supuestos!$B$13/D5</f>
        <v>8.22599577306455</v>
      </c>
      <c r="E38" s="2"/>
      <c r="F38" s="2"/>
    </row>
    <row r="39" customFormat="false" ht="15" hidden="false" customHeight="false" outlineLevel="0" collapsed="false">
      <c r="A39" s="19" t="s">
        <v>53</v>
      </c>
      <c r="B39" s="2"/>
      <c r="C39" s="2"/>
      <c r="D39" s="2"/>
      <c r="E39" s="2"/>
      <c r="F39" s="2"/>
    </row>
    <row r="40" customFormat="false" ht="30" hidden="false" customHeight="true" outlineLevel="0" collapsed="false">
      <c r="A40" s="20" t="s">
        <v>54</v>
      </c>
      <c r="B40" s="20"/>
      <c r="C40" s="20"/>
      <c r="D40" s="20"/>
      <c r="E40" s="20"/>
      <c r="F40" s="20"/>
    </row>
    <row r="41" customFormat="false" ht="30" hidden="false" customHeight="true" outlineLevel="0" collapsed="false">
      <c r="A41" s="20" t="s">
        <v>55</v>
      </c>
      <c r="B41" s="20"/>
      <c r="C41" s="20"/>
      <c r="D41" s="20"/>
      <c r="E41" s="20"/>
      <c r="F41" s="20"/>
    </row>
    <row r="42" customFormat="false" ht="30" hidden="false" customHeight="true" outlineLevel="0" collapsed="false">
      <c r="A42" s="20" t="s">
        <v>56</v>
      </c>
      <c r="B42" s="20"/>
      <c r="C42" s="20"/>
      <c r="D42" s="20"/>
      <c r="E42" s="20"/>
      <c r="F42" s="20"/>
    </row>
    <row r="43" customFormat="false" ht="30" hidden="false" customHeight="true" outlineLevel="0" collapsed="false">
      <c r="A43" s="20" t="s">
        <v>57</v>
      </c>
      <c r="B43" s="20"/>
      <c r="C43" s="20"/>
      <c r="D43" s="20"/>
      <c r="E43" s="20"/>
      <c r="F43" s="20"/>
    </row>
  </sheetData>
  <mergeCells count="4">
    <mergeCell ref="A40:F40"/>
    <mergeCell ref="A41:F41"/>
    <mergeCell ref="A42:F42"/>
    <mergeCell ref="A43:F43"/>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F27"/>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0" ySplit="4" topLeftCell="A5"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0" width="46"/>
    <col collapsed="false" customWidth="true" hidden="false" outlineLevel="0" max="4" min="2" style="0" width="13"/>
    <col collapsed="false" customWidth="true" hidden="false" outlineLevel="0" max="5" min="5" style="0" width="12"/>
    <col collapsed="false" customWidth="true" hidden="false" outlineLevel="0" max="6" min="6" style="0" width="90"/>
  </cols>
  <sheetData>
    <row r="1" customFormat="false" ht="17.35" hidden="false" customHeight="false" outlineLevel="0" collapsed="false">
      <c r="A1" s="1" t="s">
        <v>58</v>
      </c>
      <c r="B1" s="2"/>
      <c r="C1" s="2"/>
      <c r="D1" s="2"/>
      <c r="E1" s="2"/>
      <c r="F1" s="2"/>
    </row>
    <row r="2" customFormat="false" ht="15" hidden="false" customHeight="false" outlineLevel="0" collapsed="false">
      <c r="A2" s="3" t="s">
        <v>59</v>
      </c>
      <c r="B2" s="2"/>
      <c r="C2" s="2"/>
      <c r="D2" s="2"/>
      <c r="E2" s="2"/>
      <c r="F2" s="2"/>
    </row>
    <row r="3" customFormat="false" ht="15" hidden="false" customHeight="false" outlineLevel="0" collapsed="false">
      <c r="A3" s="2"/>
      <c r="B3" s="2"/>
      <c r="C3" s="2"/>
      <c r="D3" s="2"/>
      <c r="E3" s="2"/>
      <c r="F3" s="2"/>
    </row>
    <row r="4" customFormat="false" ht="15" hidden="false" customHeight="false" outlineLevel="0" collapsed="false">
      <c r="A4" s="4" t="s">
        <v>60</v>
      </c>
      <c r="B4" s="4" t="s">
        <v>3</v>
      </c>
      <c r="C4" s="4" t="s">
        <v>4</v>
      </c>
      <c r="D4" s="4" t="s">
        <v>5</v>
      </c>
      <c r="E4" s="4" t="s">
        <v>61</v>
      </c>
      <c r="F4" s="4" t="s">
        <v>62</v>
      </c>
    </row>
    <row r="5" customFormat="false" ht="30" hidden="false" customHeight="true" outlineLevel="0" collapsed="false">
      <c r="A5" s="2" t="s">
        <v>63</v>
      </c>
      <c r="B5" s="21" t="n">
        <v>135</v>
      </c>
      <c r="C5" s="21" t="n">
        <v>365</v>
      </c>
      <c r="D5" s="21" t="n">
        <v>60</v>
      </c>
      <c r="E5" s="2" t="s">
        <v>64</v>
      </c>
      <c r="F5" s="11" t="s">
        <v>65</v>
      </c>
    </row>
    <row r="6" customFormat="false" ht="30" hidden="false" customHeight="true" outlineLevel="0" collapsed="false">
      <c r="A6" s="2" t="s">
        <v>66</v>
      </c>
      <c r="B6" s="22" t="n">
        <v>150</v>
      </c>
      <c r="C6" s="22" t="n">
        <v>400</v>
      </c>
      <c r="D6" s="22" t="n">
        <v>75</v>
      </c>
      <c r="E6" s="2" t="s">
        <v>64</v>
      </c>
      <c r="F6" s="11" t="s">
        <v>67</v>
      </c>
    </row>
    <row r="7" customFormat="false" ht="30" hidden="false" customHeight="true" outlineLevel="0" collapsed="false">
      <c r="A7" s="2" t="s">
        <v>68</v>
      </c>
      <c r="B7" s="23" t="n">
        <v>400.92</v>
      </c>
      <c r="C7" s="23" t="n">
        <v>956.54</v>
      </c>
      <c r="D7" s="23" t="n">
        <v>234.25</v>
      </c>
      <c r="E7" s="2" t="s">
        <v>69</v>
      </c>
      <c r="F7" s="11" t="s">
        <v>70</v>
      </c>
    </row>
    <row r="8" customFormat="false" ht="30" hidden="false" customHeight="true" outlineLevel="0" collapsed="false">
      <c r="A8" s="2" t="s">
        <v>71</v>
      </c>
      <c r="B8" s="22" t="n">
        <v>2</v>
      </c>
      <c r="C8" s="22" t="n">
        <v>2</v>
      </c>
      <c r="D8" s="22" t="n">
        <v>4</v>
      </c>
      <c r="E8" s="2" t="s">
        <v>64</v>
      </c>
      <c r="F8" s="11" t="s">
        <v>72</v>
      </c>
    </row>
    <row r="9" customFormat="false" ht="30" hidden="false" customHeight="true" outlineLevel="0" collapsed="false">
      <c r="A9" s="2" t="s">
        <v>73</v>
      </c>
      <c r="B9" s="24" t="n">
        <v>0.1</v>
      </c>
      <c r="C9" s="24" t="n">
        <v>0.1</v>
      </c>
      <c r="D9" s="24" t="n">
        <v>0.1</v>
      </c>
      <c r="E9" s="2" t="s">
        <v>74</v>
      </c>
      <c r="F9" s="11" t="s">
        <v>75</v>
      </c>
    </row>
    <row r="10" customFormat="false" ht="30" hidden="false" customHeight="true" outlineLevel="0" collapsed="false">
      <c r="A10" s="2" t="s">
        <v>76</v>
      </c>
      <c r="B10" s="25" t="n">
        <v>0</v>
      </c>
      <c r="C10" s="25" t="n">
        <v>0</v>
      </c>
      <c r="D10" s="25" t="n">
        <v>0</v>
      </c>
      <c r="E10" s="2" t="s">
        <v>77</v>
      </c>
      <c r="F10" s="11" t="s">
        <v>78</v>
      </c>
    </row>
    <row r="11" customFormat="false" ht="30" hidden="false" customHeight="true" outlineLevel="0" collapsed="false">
      <c r="A11" s="2"/>
      <c r="B11" s="2"/>
      <c r="C11" s="2"/>
      <c r="D11" s="2"/>
      <c r="E11" s="2"/>
      <c r="F11" s="2"/>
    </row>
    <row r="12" customFormat="false" ht="30" hidden="false" customHeight="true" outlineLevel="0" collapsed="false">
      <c r="A12" s="26" t="s">
        <v>79</v>
      </c>
      <c r="B12" s="26" t="s">
        <v>80</v>
      </c>
      <c r="C12" s="26"/>
      <c r="D12" s="26"/>
      <c r="E12" s="26" t="s">
        <v>61</v>
      </c>
      <c r="F12" s="26" t="s">
        <v>62</v>
      </c>
    </row>
    <row r="13" customFormat="false" ht="30" hidden="false" customHeight="true" outlineLevel="0" collapsed="false">
      <c r="A13" s="2" t="s">
        <v>81</v>
      </c>
      <c r="B13" s="27" t="n">
        <v>18.7</v>
      </c>
      <c r="C13" s="2"/>
      <c r="D13" s="2"/>
      <c r="E13" s="2" t="s">
        <v>82</v>
      </c>
      <c r="F13" s="11" t="s">
        <v>83</v>
      </c>
    </row>
    <row r="14" customFormat="false" ht="30" hidden="false" customHeight="true" outlineLevel="0" collapsed="false">
      <c r="A14" s="2" t="s">
        <v>84</v>
      </c>
      <c r="B14" s="25" t="n">
        <v>0.15</v>
      </c>
      <c r="C14" s="2"/>
      <c r="D14" s="2"/>
      <c r="E14" s="2" t="s">
        <v>77</v>
      </c>
      <c r="F14" s="11" t="s">
        <v>85</v>
      </c>
    </row>
    <row r="15" customFormat="false" ht="30" hidden="false" customHeight="true" outlineLevel="0" collapsed="false">
      <c r="A15" s="2" t="s">
        <v>12</v>
      </c>
      <c r="B15" s="25" t="n">
        <v>0</v>
      </c>
      <c r="C15" s="2"/>
      <c r="D15" s="2"/>
      <c r="E15" s="2" t="s">
        <v>77</v>
      </c>
      <c r="F15" s="11" t="s">
        <v>86</v>
      </c>
    </row>
    <row r="16" customFormat="false" ht="30" hidden="false" customHeight="true" outlineLevel="0" collapsed="false">
      <c r="A16" s="2" t="s">
        <v>87</v>
      </c>
      <c r="B16" s="28" t="n">
        <v>0.02</v>
      </c>
      <c r="C16" s="2"/>
      <c r="D16" s="2"/>
      <c r="E16" s="2" t="s">
        <v>77</v>
      </c>
      <c r="F16" s="11" t="s">
        <v>88</v>
      </c>
    </row>
    <row r="17" customFormat="false" ht="30" hidden="false" customHeight="true" outlineLevel="0" collapsed="false">
      <c r="A17" s="2" t="s">
        <v>89</v>
      </c>
      <c r="B17" s="22" t="n">
        <v>5</v>
      </c>
      <c r="C17" s="2"/>
      <c r="D17" s="2"/>
      <c r="E17" s="2" t="s">
        <v>64</v>
      </c>
      <c r="F17" s="11"/>
    </row>
    <row r="18" customFormat="false" ht="30" hidden="false" customHeight="true" outlineLevel="0" collapsed="false">
      <c r="A18" s="2" t="s">
        <v>90</v>
      </c>
      <c r="B18" s="28" t="n">
        <v>0.01</v>
      </c>
      <c r="C18" s="2"/>
      <c r="D18" s="2"/>
      <c r="E18" s="2" t="s">
        <v>77</v>
      </c>
      <c r="F18" s="11"/>
    </row>
    <row r="19" customFormat="false" ht="30" hidden="false" customHeight="true" outlineLevel="0" collapsed="false">
      <c r="A19" s="2" t="s">
        <v>91</v>
      </c>
      <c r="B19" s="22" t="n">
        <v>1</v>
      </c>
      <c r="C19" s="2"/>
      <c r="D19" s="2"/>
      <c r="E19" s="2" t="s">
        <v>64</v>
      </c>
      <c r="F19" s="11"/>
    </row>
    <row r="20" customFormat="false" ht="30" hidden="false" customHeight="true" outlineLevel="0" collapsed="false">
      <c r="A20" s="2" t="s">
        <v>92</v>
      </c>
      <c r="B20" s="29" t="n">
        <v>1.1</v>
      </c>
      <c r="C20" s="2"/>
      <c r="D20" s="2"/>
      <c r="E20" s="2" t="s">
        <v>93</v>
      </c>
      <c r="F20" s="11" t="s">
        <v>94</v>
      </c>
    </row>
    <row r="21" customFormat="false" ht="30" hidden="false" customHeight="true" outlineLevel="0" collapsed="false">
      <c r="A21" s="2" t="s">
        <v>95</v>
      </c>
      <c r="B21" s="28" t="n">
        <v>0</v>
      </c>
      <c r="C21" s="2"/>
      <c r="D21" s="2"/>
      <c r="E21" s="2" t="s">
        <v>77</v>
      </c>
      <c r="F21" s="11" t="s">
        <v>96</v>
      </c>
    </row>
    <row r="22" customFormat="false" ht="30" hidden="false" customHeight="true" outlineLevel="0" collapsed="false">
      <c r="A22" s="2" t="s">
        <v>97</v>
      </c>
      <c r="B22" s="28" t="n">
        <v>0.008</v>
      </c>
      <c r="C22" s="2"/>
      <c r="D22" s="2"/>
      <c r="E22" s="2" t="s">
        <v>77</v>
      </c>
      <c r="F22" s="11" t="s">
        <v>98</v>
      </c>
    </row>
    <row r="23" customFormat="false" ht="30" hidden="false" customHeight="true" outlineLevel="0" collapsed="false">
      <c r="A23" s="2" t="s">
        <v>99</v>
      </c>
      <c r="B23" s="30" t="n">
        <v>462</v>
      </c>
      <c r="C23" s="2"/>
      <c r="D23" s="2"/>
      <c r="E23" s="2" t="s">
        <v>100</v>
      </c>
      <c r="F23" s="11" t="s">
        <v>101</v>
      </c>
    </row>
    <row r="24" customFormat="false" ht="30" hidden="false" customHeight="true" outlineLevel="0" collapsed="false">
      <c r="A24" s="2" t="s">
        <v>102</v>
      </c>
      <c r="B24" s="30" t="n">
        <v>350</v>
      </c>
      <c r="C24" s="2"/>
      <c r="D24" s="2"/>
      <c r="E24" s="2" t="s">
        <v>100</v>
      </c>
      <c r="F24" s="11" t="s">
        <v>103</v>
      </c>
    </row>
    <row r="25" customFormat="false" ht="30" hidden="false" customHeight="true" outlineLevel="0" collapsed="false">
      <c r="A25" s="2" t="s">
        <v>104</v>
      </c>
      <c r="B25" s="28" t="n">
        <v>0.16</v>
      </c>
      <c r="C25" s="2"/>
      <c r="D25" s="2"/>
      <c r="E25" s="2" t="s">
        <v>77</v>
      </c>
      <c r="F25" s="11" t="s">
        <v>105</v>
      </c>
    </row>
    <row r="26" customFormat="false" ht="30" hidden="false" customHeight="true" outlineLevel="0" collapsed="false">
      <c r="A26" s="2" t="s">
        <v>106</v>
      </c>
      <c r="B26" s="31" t="n">
        <v>6500</v>
      </c>
      <c r="C26" s="2"/>
      <c r="D26" s="2"/>
      <c r="E26" s="2" t="s">
        <v>100</v>
      </c>
      <c r="F26" s="11" t="s">
        <v>107</v>
      </c>
    </row>
    <row r="27" customFormat="false" ht="30" hidden="false" customHeight="true" outlineLevel="0" collapsed="false">
      <c r="A27" s="2" t="s">
        <v>108</v>
      </c>
      <c r="B27" s="32" t="n">
        <v>50</v>
      </c>
      <c r="C27" s="2"/>
      <c r="D27" s="2"/>
      <c r="E27" s="2" t="s">
        <v>69</v>
      </c>
      <c r="F27" s="11" t="s">
        <v>109</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E50"/>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44"/>
    <col collapsed="false" customWidth="true" hidden="false" outlineLevel="0" max="4" min="2" style="0" width="14"/>
    <col collapsed="false" customWidth="true" hidden="false" outlineLevel="0" max="5" min="5" style="0" width="70"/>
  </cols>
  <sheetData>
    <row r="1" customFormat="false" ht="17.35" hidden="false" customHeight="false" outlineLevel="0" collapsed="false">
      <c r="A1" s="1" t="s">
        <v>110</v>
      </c>
      <c r="B1" s="2"/>
      <c r="C1" s="2"/>
      <c r="D1" s="2"/>
      <c r="E1" s="2"/>
    </row>
    <row r="2" customFormat="false" ht="15" hidden="false" customHeight="false" outlineLevel="0" collapsed="false">
      <c r="A2" s="3" t="s">
        <v>111</v>
      </c>
      <c r="B2" s="2"/>
      <c r="C2" s="2"/>
      <c r="D2" s="2"/>
      <c r="E2" s="2"/>
    </row>
    <row r="3" customFormat="false" ht="15" hidden="false" customHeight="false" outlineLevel="0" collapsed="false">
      <c r="A3" s="2"/>
      <c r="B3" s="2"/>
      <c r="C3" s="2"/>
      <c r="D3" s="2"/>
      <c r="E3" s="2"/>
    </row>
    <row r="4" customFormat="false" ht="15" hidden="false" customHeight="false" outlineLevel="0" collapsed="false">
      <c r="A4" s="4" t="s">
        <v>2</v>
      </c>
      <c r="B4" s="4" t="s">
        <v>3</v>
      </c>
      <c r="C4" s="4" t="s">
        <v>4</v>
      </c>
      <c r="D4" s="4" t="s">
        <v>5</v>
      </c>
      <c r="E4" s="4" t="s">
        <v>112</v>
      </c>
    </row>
    <row r="5" customFormat="false" ht="15" hidden="false" customHeight="false" outlineLevel="0" collapsed="false">
      <c r="A5" s="2" t="s">
        <v>113</v>
      </c>
      <c r="B5" s="5" t="n">
        <f aca="false">Supuestos!B$5</f>
        <v>135</v>
      </c>
      <c r="C5" s="5" t="n">
        <f aca="false">Supuestos!C$5</f>
        <v>365</v>
      </c>
      <c r="D5" s="5" t="n">
        <f aca="false">Supuestos!D$5</f>
        <v>60</v>
      </c>
      <c r="E5" s="3" t="s">
        <v>114</v>
      </c>
    </row>
    <row r="6" customFormat="false" ht="15" hidden="false" customHeight="false" outlineLevel="0" collapsed="false">
      <c r="A6" s="2" t="s">
        <v>115</v>
      </c>
      <c r="B6" s="5" t="n">
        <f aca="false">SUMPRODUCT((BOM_V56!$G$5:$G$100=0)*BOM_V56!$J$5:$J$100*BOM_V56!$H$5:$H$100)*Supuestos!B$5</f>
        <v>89775</v>
      </c>
      <c r="C6" s="5" t="n">
        <f aca="false">SUMPRODUCT((BOM_V57!$G$5:$G$109=0)*BOM_V57!$J$5:$J$109*BOM_V57!$H$5:$H$109)*Supuestos!C$5</f>
        <v>245645</v>
      </c>
      <c r="D6" s="5" t="n">
        <f aca="false">SUMPRODUCT((BOM_v6!$G$5:$G$130=0)*BOM_v6!$J$5:$J$130*BOM_v6!$H$5:$H$130)*Supuestos!D$5</f>
        <v>64980</v>
      </c>
      <c r="E6" s="3" t="s">
        <v>116</v>
      </c>
    </row>
    <row r="7" customFormat="false" ht="15" hidden="false" customHeight="false" outlineLevel="0" collapsed="false">
      <c r="A7" s="2" t="s">
        <v>117</v>
      </c>
      <c r="B7" s="5" t="n">
        <f aca="false">SUMPRODUCT((BOM_V56!$G$5:$G$100=1)*BOM_V56!$J$5:$J$100*BOM_V56!$I$5:$I$100)*Supuestos!B$5</f>
        <v>16200</v>
      </c>
      <c r="C7" s="5" t="n">
        <f aca="false">SUMPRODUCT((BOM_V57!$G$5:$G$109=1)*BOM_V57!$J$5:$J$109*BOM_V57!$I$5:$I$109)*Supuestos!C$5</f>
        <v>43070</v>
      </c>
      <c r="D7" s="5" t="n">
        <f aca="false">SUMPRODUCT((BOM_v6!$G$5:$G$130=1)*BOM_v6!$J$5:$J$130*BOM_v6!$I$5:$I$130)*Supuestos!D$5</f>
        <v>5880</v>
      </c>
      <c r="E7" s="3" t="s">
        <v>118</v>
      </c>
    </row>
    <row r="8" customFormat="false" ht="15" hidden="false" customHeight="false" outlineLevel="0" collapsed="false">
      <c r="A8" s="2" t="s">
        <v>119</v>
      </c>
      <c r="B8" s="5" t="n">
        <f aca="false">COUNTA(BOM_V56!$B$5:$B$100)</f>
        <v>96</v>
      </c>
      <c r="C8" s="5" t="n">
        <f aca="false">COUNTA(BOM_V57!$B$5:$B$109)</f>
        <v>105</v>
      </c>
      <c r="D8" s="5" t="n">
        <f aca="false">COUNTA(BOM_v6!$B$5:$B$130)</f>
        <v>126</v>
      </c>
      <c r="E8" s="3" t="s">
        <v>120</v>
      </c>
    </row>
    <row r="9" customFormat="false" ht="15" hidden="false" customHeight="false" outlineLevel="0" collapsed="false">
      <c r="A9" s="2" t="s">
        <v>121</v>
      </c>
      <c r="B9" s="5" t="n">
        <f aca="false">Supuestos!B$8*Supuestos!B$5</f>
        <v>270</v>
      </c>
      <c r="C9" s="5" t="n">
        <f aca="false">Supuestos!C$8*Supuestos!C$5</f>
        <v>730</v>
      </c>
      <c r="D9" s="5" t="n">
        <f aca="false">Supuestos!D$8*Supuestos!D$5</f>
        <v>240</v>
      </c>
      <c r="E9" s="3" t="s">
        <v>122</v>
      </c>
    </row>
    <row r="10" customFormat="false" ht="15" hidden="false" customHeight="false" outlineLevel="0" collapsed="false">
      <c r="A10" s="7" t="s">
        <v>123</v>
      </c>
      <c r="B10" s="8"/>
      <c r="C10" s="8"/>
      <c r="D10" s="8"/>
      <c r="E10" s="8"/>
    </row>
    <row r="11" customFormat="false" ht="15" hidden="false" customHeight="false" outlineLevel="0" collapsed="false">
      <c r="A11" s="2" t="s">
        <v>124</v>
      </c>
      <c r="B11" s="10" t="n">
        <f aca="false">$B$27</f>
        <v>25.56</v>
      </c>
      <c r="C11" s="10" t="n">
        <f aca="false">$B$27</f>
        <v>25.56</v>
      </c>
      <c r="D11" s="10" t="n">
        <f aca="false">$B$27</f>
        <v>25.56</v>
      </c>
      <c r="E11" s="2"/>
    </row>
    <row r="12" customFormat="false" ht="15" hidden="false" customHeight="false" outlineLevel="0" collapsed="false">
      <c r="A12" s="2" t="s">
        <v>125</v>
      </c>
      <c r="B12" s="10" t="n">
        <f aca="false">$B$28</f>
        <v>8.21</v>
      </c>
      <c r="C12" s="10" t="n">
        <f aca="false">$B$28</f>
        <v>8.21</v>
      </c>
      <c r="D12" s="10" t="n">
        <f aca="false">$B$28</f>
        <v>8.21</v>
      </c>
      <c r="E12" s="2"/>
    </row>
    <row r="13" customFormat="false" ht="15" hidden="false" customHeight="false" outlineLevel="0" collapsed="false">
      <c r="A13" s="2" t="s">
        <v>126</v>
      </c>
      <c r="B13" s="10" t="n">
        <f aca="false">MIN(B6,50000)*$B$29+MAX(0,MIN(B6,100000)-50000)*$B$30+MAX(0,B6-100000)*$B$31</f>
        <v>131.7075</v>
      </c>
      <c r="C13" s="10" t="n">
        <f aca="false">MIN(C6,50000)*$B$29+MAX(0,MIN(C6,100000)-50000)*$B$30+MAX(0,C6-100000)*$B$31</f>
        <v>319.774</v>
      </c>
      <c r="D13" s="10" t="n">
        <f aca="false">MIN(D6,50000)*$B$29+MAX(0,MIN(D6,100000)-50000)*$B$30+MAX(0,D6-100000)*$B$31</f>
        <v>99.474</v>
      </c>
      <c r="E13" s="2"/>
    </row>
    <row r="14" customFormat="false" ht="15" hidden="false" customHeight="false" outlineLevel="0" collapsed="false">
      <c r="A14" s="2" t="s">
        <v>127</v>
      </c>
      <c r="B14" s="10" t="n">
        <f aca="false">MIN(B7,10000)*$B$32+MAX(0,MIN(B7,30000)-10000)*$B$33+MAX(0,B7-30000)*$B$34</f>
        <v>257</v>
      </c>
      <c r="C14" s="10" t="n">
        <f aca="false">MIN(C7,10000)*$B$32+MAX(0,MIN(C7,30000)-10000)*$B$33+MAX(0,C7-30000)*$B$34</f>
        <v>620.84</v>
      </c>
      <c r="D14" s="10" t="n">
        <f aca="false">MIN(D7,10000)*$B$32+MAX(0,MIN(D7,30000)-10000)*$B$33+MAX(0,D7-30000)*$B$34</f>
        <v>96.432</v>
      </c>
      <c r="E14" s="2"/>
    </row>
    <row r="15" customFormat="false" ht="15" hidden="false" customHeight="false" outlineLevel="0" collapsed="false">
      <c r="A15" s="2" t="s">
        <v>128</v>
      </c>
      <c r="B15" s="10" t="n">
        <f aca="false">$B$35</f>
        <v>3.58</v>
      </c>
      <c r="C15" s="10" t="n">
        <f aca="false">$B$35</f>
        <v>3.58</v>
      </c>
      <c r="D15" s="10" t="n">
        <f aca="false">$B$35</f>
        <v>3.58</v>
      </c>
      <c r="E15" s="2"/>
    </row>
    <row r="16" customFormat="false" ht="15" hidden="false" customHeight="false" outlineLevel="0" collapsed="false">
      <c r="A16" s="2" t="s">
        <v>129</v>
      </c>
      <c r="B16" s="10" t="n">
        <f aca="false">B8*$B$36</f>
        <v>146.88</v>
      </c>
      <c r="C16" s="10" t="n">
        <f aca="false">C8*$B$36</f>
        <v>160.65</v>
      </c>
      <c r="D16" s="10" t="n">
        <f aca="false">D8*$B$36</f>
        <v>192.78</v>
      </c>
      <c r="E16" s="2"/>
    </row>
    <row r="17" customFormat="false" ht="15" hidden="false" customHeight="false" outlineLevel="0" collapsed="false">
      <c r="A17" s="2" t="s">
        <v>130</v>
      </c>
      <c r="B17" s="10" t="n">
        <f aca="false">IF(B9=0,0,B9*INDEX($B$43:$B$49,MATCH(B9,$A$43:$A$49,1)))</f>
        <v>89.1</v>
      </c>
      <c r="C17" s="10" t="n">
        <f aca="false">IF(C9=0,0,C9*INDEX($B$43:$B$49,MATCH(C9,$A$43:$A$49,1)))</f>
        <v>182.5</v>
      </c>
      <c r="D17" s="10" t="n">
        <f aca="false">IF(D9=0,0,D9*INDEX($B$43:$B$49,MATCH(D9,$A$43:$A$49,1)))</f>
        <v>79.2</v>
      </c>
      <c r="E17" s="2"/>
    </row>
    <row r="18" customFormat="false" ht="15" hidden="false" customHeight="false" outlineLevel="0" collapsed="false">
      <c r="A18" s="2" t="s">
        <v>131</v>
      </c>
      <c r="B18" s="10" t="n">
        <f aca="false">INDEX($E$43:$E$48,MATCH(B5,$D$43:$D$48,1))</f>
        <v>41.04</v>
      </c>
      <c r="C18" s="10" t="n">
        <f aca="false">INDEX($E$43:$E$48,MATCH(C5,$D$43:$D$48,1))</f>
        <v>123.13</v>
      </c>
      <c r="D18" s="10" t="n">
        <f aca="false">INDEX($E$43:$E$48,MATCH(D5,$D$43:$D$48,1))</f>
        <v>24.63</v>
      </c>
      <c r="E18" s="2"/>
    </row>
    <row r="19" customFormat="false" ht="15" hidden="false" customHeight="false" outlineLevel="0" collapsed="false">
      <c r="A19" s="2" t="s">
        <v>132</v>
      </c>
      <c r="B19" s="10" t="n">
        <f aca="false">$B$37+$B$38*$B$39*B5</f>
        <v>1.067</v>
      </c>
      <c r="C19" s="10" t="n">
        <f aca="false">$B$37+$B$38*$B$39*C5</f>
        <v>2.033</v>
      </c>
      <c r="D19" s="10" t="n">
        <f aca="false">$B$37+$B$38*$B$39*D5</f>
        <v>0.752</v>
      </c>
      <c r="E19" s="2"/>
    </row>
    <row r="20" customFormat="false" ht="15" hidden="false" customHeight="false" outlineLevel="0" collapsed="false">
      <c r="A20" s="2" t="s">
        <v>133</v>
      </c>
      <c r="B20" s="10" t="n">
        <f aca="false">$B$40</f>
        <v>0.45</v>
      </c>
      <c r="C20" s="10" t="n">
        <f aca="false">$B$40</f>
        <v>0.45</v>
      </c>
      <c r="D20" s="10" t="n">
        <f aca="false">$B$40</f>
        <v>0.45</v>
      </c>
      <c r="E20" s="2"/>
    </row>
    <row r="21" customFormat="false" ht="15" hidden="false" customHeight="false" outlineLevel="0" collapsed="false">
      <c r="A21" s="12" t="s">
        <v>134</v>
      </c>
      <c r="B21" s="13" t="n">
        <f aca="false">SUM(B11:B20)</f>
        <v>704.5945</v>
      </c>
      <c r="C21" s="13" t="n">
        <f aca="false">SUM(C11:C20)</f>
        <v>1446.727</v>
      </c>
      <c r="D21" s="13" t="n">
        <f aca="false">SUM(D11:D20)</f>
        <v>531.068</v>
      </c>
      <c r="E21" s="14"/>
    </row>
    <row r="22" customFormat="false" ht="15" hidden="false" customHeight="false" outlineLevel="0" collapsed="false">
      <c r="A22" s="2" t="s">
        <v>135</v>
      </c>
      <c r="B22" s="10" t="n">
        <f aca="false">B21/B5</f>
        <v>5.21921851851852</v>
      </c>
      <c r="C22" s="10" t="n">
        <f aca="false">C21/C5</f>
        <v>3.96363561643836</v>
      </c>
      <c r="D22" s="10" t="n">
        <f aca="false">D21/D5</f>
        <v>8.85113333333334</v>
      </c>
      <c r="E22" s="2"/>
    </row>
    <row r="23" customFormat="false" ht="15" hidden="false" customHeight="false" outlineLevel="0" collapsed="false">
      <c r="A23" s="2"/>
      <c r="B23" s="2"/>
      <c r="C23" s="2"/>
      <c r="D23" s="2"/>
      <c r="E23" s="2"/>
    </row>
    <row r="24" customFormat="false" ht="15" hidden="false" customHeight="false" outlineLevel="0" collapsed="false">
      <c r="A24" s="2"/>
      <c r="B24" s="2"/>
      <c r="C24" s="2"/>
      <c r="D24" s="2"/>
      <c r="E24" s="2"/>
    </row>
    <row r="25" customFormat="false" ht="15" hidden="false" customHeight="false" outlineLevel="0" collapsed="false">
      <c r="A25" s="2"/>
      <c r="B25" s="2"/>
      <c r="C25" s="2"/>
      <c r="D25" s="2"/>
      <c r="E25" s="2"/>
    </row>
    <row r="26" customFormat="false" ht="15" hidden="false" customHeight="false" outlineLevel="0" collapsed="false">
      <c r="A26" s="19" t="s">
        <v>136</v>
      </c>
      <c r="B26" s="2"/>
      <c r="C26" s="2"/>
      <c r="D26" s="2"/>
      <c r="E26" s="2"/>
    </row>
    <row r="27" customFormat="false" ht="15" hidden="false" customHeight="false" outlineLevel="0" collapsed="false">
      <c r="A27" s="2" t="s">
        <v>137</v>
      </c>
      <c r="B27" s="32" t="n">
        <v>25.56</v>
      </c>
      <c r="C27" s="2"/>
      <c r="D27" s="2"/>
      <c r="E27" s="2"/>
    </row>
    <row r="28" customFormat="false" ht="15" hidden="false" customHeight="false" outlineLevel="0" collapsed="false">
      <c r="A28" s="2" t="s">
        <v>138</v>
      </c>
      <c r="B28" s="32" t="n">
        <v>8.21</v>
      </c>
      <c r="C28" s="2"/>
      <c r="D28" s="2"/>
      <c r="E28" s="2"/>
    </row>
    <row r="29" customFormat="false" ht="15" hidden="false" customHeight="false" outlineLevel="0" collapsed="false">
      <c r="A29" s="2" t="s">
        <v>139</v>
      </c>
      <c r="B29" s="33" t="n">
        <v>0.0016</v>
      </c>
      <c r="C29" s="2"/>
      <c r="D29" s="2"/>
      <c r="E29" s="2"/>
    </row>
    <row r="30" customFormat="false" ht="15" hidden="false" customHeight="false" outlineLevel="0" collapsed="false">
      <c r="A30" s="2" t="s">
        <v>140</v>
      </c>
      <c r="B30" s="33" t="n">
        <v>0.0013</v>
      </c>
      <c r="C30" s="2"/>
      <c r="D30" s="2"/>
      <c r="E30" s="2"/>
    </row>
    <row r="31" customFormat="false" ht="15" hidden="false" customHeight="false" outlineLevel="0" collapsed="false">
      <c r="A31" s="2" t="s">
        <v>141</v>
      </c>
      <c r="B31" s="33" t="n">
        <v>0.0012</v>
      </c>
      <c r="C31" s="2"/>
      <c r="D31" s="2"/>
      <c r="E31" s="2"/>
    </row>
    <row r="32" customFormat="false" ht="15" hidden="false" customHeight="false" outlineLevel="0" collapsed="false">
      <c r="A32" s="2" t="s">
        <v>142</v>
      </c>
      <c r="B32" s="33" t="n">
        <v>0.0164</v>
      </c>
      <c r="C32" s="2"/>
      <c r="D32" s="2"/>
      <c r="E32" s="2"/>
    </row>
    <row r="33" customFormat="false" ht="15" hidden="false" customHeight="false" outlineLevel="0" collapsed="false">
      <c r="A33" s="2" t="s">
        <v>143</v>
      </c>
      <c r="B33" s="33" t="n">
        <v>0.015</v>
      </c>
      <c r="C33" s="2"/>
      <c r="D33" s="2"/>
      <c r="E33" s="2"/>
    </row>
    <row r="34" customFormat="false" ht="15" hidden="false" customHeight="false" outlineLevel="0" collapsed="false">
      <c r="A34" s="2" t="s">
        <v>144</v>
      </c>
      <c r="B34" s="33" t="n">
        <v>0.012</v>
      </c>
      <c r="C34" s="2"/>
      <c r="D34" s="2"/>
      <c r="E34" s="2"/>
    </row>
    <row r="35" customFormat="false" ht="15" hidden="false" customHeight="false" outlineLevel="0" collapsed="false">
      <c r="A35" s="2" t="s">
        <v>145</v>
      </c>
      <c r="B35" s="32" t="n">
        <v>3.58</v>
      </c>
      <c r="C35" s="2"/>
      <c r="D35" s="2"/>
      <c r="E35" s="2"/>
    </row>
    <row r="36" customFormat="false" ht="15" hidden="false" customHeight="false" outlineLevel="0" collapsed="false">
      <c r="A36" s="2" t="s">
        <v>146</v>
      </c>
      <c r="B36" s="32" t="n">
        <v>1.53</v>
      </c>
      <c r="C36" s="2"/>
      <c r="D36" s="2"/>
      <c r="E36" s="2"/>
    </row>
    <row r="37" customFormat="false" ht="15" hidden="false" customHeight="false" outlineLevel="0" collapsed="false">
      <c r="A37" s="2" t="s">
        <v>147</v>
      </c>
      <c r="B37" s="33" t="n">
        <v>0.5</v>
      </c>
      <c r="C37" s="2"/>
      <c r="D37" s="2"/>
      <c r="E37" s="2"/>
    </row>
    <row r="38" customFormat="false" ht="15" hidden="false" customHeight="false" outlineLevel="0" collapsed="false">
      <c r="A38" s="2" t="s">
        <v>148</v>
      </c>
      <c r="B38" s="33" t="n">
        <v>3E-005</v>
      </c>
      <c r="C38" s="2"/>
      <c r="D38" s="2"/>
      <c r="E38" s="2"/>
    </row>
    <row r="39" customFormat="false" ht="15" hidden="false" customHeight="false" outlineLevel="0" collapsed="false">
      <c r="A39" s="2" t="s">
        <v>149</v>
      </c>
      <c r="B39" s="34" t="n">
        <v>140</v>
      </c>
      <c r="C39" s="2"/>
      <c r="D39" s="2"/>
      <c r="E39" s="2"/>
    </row>
    <row r="40" customFormat="false" ht="15" hidden="false" customHeight="false" outlineLevel="0" collapsed="false">
      <c r="A40" s="2" t="s">
        <v>150</v>
      </c>
      <c r="B40" s="33" t="n">
        <v>0.45</v>
      </c>
      <c r="C40" s="2"/>
      <c r="D40" s="2"/>
      <c r="E40" s="2"/>
    </row>
    <row r="41" customFormat="false" ht="15" hidden="false" customHeight="false" outlineLevel="0" collapsed="false">
      <c r="A41" s="2"/>
      <c r="B41" s="2"/>
      <c r="C41" s="2"/>
      <c r="D41" s="2"/>
      <c r="E41" s="2"/>
    </row>
    <row r="42" customFormat="false" ht="15" hidden="false" customHeight="false" outlineLevel="0" collapsed="false">
      <c r="A42" s="19" t="s">
        <v>151</v>
      </c>
      <c r="B42" s="2"/>
      <c r="C42" s="2"/>
      <c r="D42" s="19" t="s">
        <v>152</v>
      </c>
      <c r="E42" s="2"/>
    </row>
    <row r="43" customFormat="false" ht="15" hidden="false" customHeight="false" outlineLevel="0" collapsed="false">
      <c r="A43" s="35" t="n">
        <v>1</v>
      </c>
      <c r="B43" s="32" t="n">
        <v>1.64</v>
      </c>
      <c r="C43" s="2"/>
      <c r="D43" s="35" t="n">
        <v>1</v>
      </c>
      <c r="E43" s="32" t="n">
        <v>16.42</v>
      </c>
    </row>
    <row r="44" customFormat="false" ht="15" hidden="false" customHeight="false" outlineLevel="0" collapsed="false">
      <c r="A44" s="35" t="n">
        <v>11</v>
      </c>
      <c r="B44" s="32" t="n">
        <v>0.82</v>
      </c>
      <c r="C44" s="2"/>
      <c r="D44" s="35" t="n">
        <v>30</v>
      </c>
      <c r="E44" s="32" t="n">
        <v>24.63</v>
      </c>
    </row>
    <row r="45" customFormat="false" ht="15" hidden="false" customHeight="false" outlineLevel="0" collapsed="false">
      <c r="A45" s="35" t="n">
        <v>51</v>
      </c>
      <c r="B45" s="32" t="n">
        <v>0.49</v>
      </c>
      <c r="C45" s="2"/>
      <c r="D45" s="35" t="n">
        <v>100</v>
      </c>
      <c r="E45" s="32" t="n">
        <v>41.04</v>
      </c>
    </row>
    <row r="46" customFormat="false" ht="15" hidden="false" customHeight="false" outlineLevel="0" collapsed="false">
      <c r="A46" s="35" t="n">
        <v>201</v>
      </c>
      <c r="B46" s="32" t="n">
        <v>0.33</v>
      </c>
      <c r="C46" s="2"/>
      <c r="D46" s="35" t="n">
        <v>200</v>
      </c>
      <c r="E46" s="32" t="n">
        <v>82.09</v>
      </c>
    </row>
    <row r="47" customFormat="false" ht="15" hidden="false" customHeight="false" outlineLevel="0" collapsed="false">
      <c r="A47" s="35" t="n">
        <v>501</v>
      </c>
      <c r="B47" s="32" t="n">
        <v>0.25</v>
      </c>
      <c r="C47" s="2"/>
      <c r="D47" s="35" t="n">
        <v>350</v>
      </c>
      <c r="E47" s="32" t="n">
        <v>123.13</v>
      </c>
    </row>
    <row r="48" customFormat="false" ht="15" hidden="false" customHeight="false" outlineLevel="0" collapsed="false">
      <c r="A48" s="35" t="n">
        <v>1001</v>
      </c>
      <c r="B48" s="32" t="n">
        <v>0.16</v>
      </c>
      <c r="C48" s="2"/>
      <c r="D48" s="35" t="n">
        <v>500</v>
      </c>
      <c r="E48" s="32" t="n">
        <v>164.18</v>
      </c>
    </row>
    <row r="49" customFormat="false" ht="15" hidden="false" customHeight="false" outlineLevel="0" collapsed="false">
      <c r="A49" s="35" t="n">
        <v>3001</v>
      </c>
      <c r="B49" s="32" t="n">
        <v>0.082</v>
      </c>
      <c r="C49" s="2"/>
      <c r="D49" s="2"/>
      <c r="E49" s="2"/>
    </row>
    <row r="50" customFormat="false" ht="15" hidden="false" customHeight="false" outlineLevel="0" collapsed="false">
      <c r="A50" s="3" t="s">
        <v>153</v>
      </c>
      <c r="B50" s="2"/>
      <c r="C50" s="2"/>
      <c r="D50" s="2"/>
      <c r="E50" s="2"/>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E16"/>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18"/>
    <col collapsed="false" customWidth="true" hidden="false" outlineLevel="0" max="2" min="2" style="0" width="20"/>
    <col collapsed="false" customWidth="true" hidden="false" outlineLevel="0" max="4" min="3" style="0" width="18"/>
    <col collapsed="false" customWidth="true" hidden="false" outlineLevel="0" max="5" min="5" style="0" width="60"/>
  </cols>
  <sheetData>
    <row r="1" customFormat="false" ht="17.35" hidden="false" customHeight="false" outlineLevel="0" collapsed="false">
      <c r="A1" s="1" t="s">
        <v>154</v>
      </c>
      <c r="B1" s="2"/>
      <c r="C1" s="2"/>
      <c r="D1" s="2"/>
      <c r="E1" s="2"/>
    </row>
    <row r="2" customFormat="false" ht="15" hidden="false" customHeight="false" outlineLevel="0" collapsed="false">
      <c r="A2" s="3" t="s">
        <v>155</v>
      </c>
      <c r="B2" s="2"/>
      <c r="C2" s="2"/>
      <c r="D2" s="2"/>
      <c r="E2" s="2"/>
    </row>
    <row r="3" customFormat="false" ht="15" hidden="false" customHeight="false" outlineLevel="0" collapsed="false">
      <c r="A3" s="2"/>
      <c r="B3" s="2"/>
      <c r="C3" s="2"/>
      <c r="D3" s="2"/>
      <c r="E3" s="2"/>
    </row>
    <row r="4" customFormat="false" ht="30" hidden="false" customHeight="true" outlineLevel="0" collapsed="false">
      <c r="A4" s="4" t="s">
        <v>156</v>
      </c>
      <c r="B4" s="4" t="s">
        <v>157</v>
      </c>
      <c r="C4" s="4" t="s">
        <v>158</v>
      </c>
      <c r="D4" s="4" t="s">
        <v>159</v>
      </c>
      <c r="E4" s="4" t="s">
        <v>7</v>
      </c>
    </row>
    <row r="5" customFormat="false" ht="15" hidden="false" customHeight="false" outlineLevel="0" collapsed="false">
      <c r="A5" s="36" t="n">
        <v>6.22</v>
      </c>
      <c r="B5" s="32" t="n">
        <v>87.04</v>
      </c>
      <c r="C5" s="32" t="n">
        <v>168.71</v>
      </c>
      <c r="D5" s="32" t="n">
        <v>132.22</v>
      </c>
      <c r="E5" s="3" t="s">
        <v>160</v>
      </c>
    </row>
    <row r="6" customFormat="false" ht="15" hidden="false" customHeight="false" outlineLevel="0" collapsed="false">
      <c r="A6" s="36" t="n">
        <v>12.32</v>
      </c>
      <c r="B6" s="32" t="n">
        <v>142.04</v>
      </c>
      <c r="C6" s="32" t="n">
        <v>300.48</v>
      </c>
      <c r="D6" s="32" t="n">
        <v>229.95</v>
      </c>
      <c r="E6" s="2"/>
    </row>
    <row r="7" customFormat="false" ht="15" hidden="false" customHeight="false" outlineLevel="0" collapsed="false">
      <c r="A7" s="36" t="n">
        <v>19.65</v>
      </c>
      <c r="B7" s="32" t="n">
        <v>195.97</v>
      </c>
      <c r="C7" s="32" t="n">
        <v>460.21</v>
      </c>
      <c r="D7" s="32" t="n">
        <v>326.86</v>
      </c>
      <c r="E7" s="2"/>
    </row>
    <row r="8" customFormat="false" ht="15" hidden="false" customHeight="false" outlineLevel="0" collapsed="false">
      <c r="A8" s="36" t="n">
        <v>39.16</v>
      </c>
      <c r="B8" s="32" t="n">
        <v>399.17</v>
      </c>
      <c r="C8" s="32" t="n">
        <v>570.54</v>
      </c>
      <c r="D8" s="32" t="n">
        <v>600.67</v>
      </c>
      <c r="E8" s="2"/>
    </row>
    <row r="9" customFormat="false" ht="15" hidden="false" customHeight="false" outlineLevel="0" collapsed="false">
      <c r="A9" s="2"/>
      <c r="B9" s="2"/>
      <c r="C9" s="2"/>
      <c r="D9" s="2"/>
      <c r="E9" s="2"/>
    </row>
    <row r="10" customFormat="false" ht="15" hidden="false" customHeight="false" outlineLevel="0" collapsed="false">
      <c r="A10" s="19" t="s">
        <v>161</v>
      </c>
      <c r="B10" s="2"/>
      <c r="C10" s="2"/>
      <c r="D10" s="2"/>
      <c r="E10" s="2"/>
    </row>
    <row r="11" customFormat="false" ht="15" hidden="false" customHeight="false" outlineLevel="0" collapsed="false">
      <c r="A11" s="4" t="s">
        <v>2</v>
      </c>
      <c r="B11" s="4" t="s">
        <v>3</v>
      </c>
      <c r="C11" s="4" t="s">
        <v>4</v>
      </c>
      <c r="D11" s="4" t="s">
        <v>5</v>
      </c>
      <c r="E11" s="4" t="s">
        <v>112</v>
      </c>
    </row>
    <row r="12" customFormat="false" ht="15" hidden="false" customHeight="false" outlineLevel="0" collapsed="false">
      <c r="A12" s="2" t="s">
        <v>162</v>
      </c>
      <c r="B12" s="6" t="n">
        <f aca="false">Supuestos!B$5</f>
        <v>135</v>
      </c>
      <c r="C12" s="6" t="n">
        <f aca="false">Supuestos!C$5</f>
        <v>365</v>
      </c>
      <c r="D12" s="6" t="n">
        <f aca="false">Supuestos!D$5</f>
        <v>60</v>
      </c>
      <c r="E12" s="2"/>
    </row>
    <row r="13" customFormat="false" ht="15" hidden="false" customHeight="false" outlineLevel="0" collapsed="false">
      <c r="A13" s="2" t="s">
        <v>163</v>
      </c>
      <c r="B13" s="37" t="n">
        <f aca="false">Supuestos!B$5*Supuestos!B$9*Supuestos!$B$20</f>
        <v>14.85</v>
      </c>
      <c r="C13" s="37" t="n">
        <f aca="false">Supuestos!C$5*Supuestos!C$9*Supuestos!$B$20</f>
        <v>40.15</v>
      </c>
      <c r="D13" s="37" t="n">
        <f aca="false">Supuestos!D$5*Supuestos!D$9*Supuestos!$B$20</f>
        <v>6.6</v>
      </c>
      <c r="E13" s="3" t="s">
        <v>164</v>
      </c>
    </row>
    <row r="14" customFormat="false" ht="15" hidden="false" customHeight="false" outlineLevel="0" collapsed="false">
      <c r="A14" s="19" t="s">
        <v>165</v>
      </c>
      <c r="B14" s="10" t="n">
        <f aca="false">INDEX($B$5:$B$8,MAX(1,MIN(3,IFERROR(MATCH(B13,$A$5:$A$8,1),1))))+(B13-INDEX($A$5:$A$8,MAX(1,MIN(3,IFERROR(MATCH(B13,$A$5:$A$8,1),1)))))*(INDEX($B$5:$B$8,MAX(1,MIN(3,IFERROR(MATCH(B13,$A$5:$A$8,1),1)))+1)-INDEX($B$5:$B$8,MAX(1,MIN(3,IFERROR(MATCH(B13,$A$5:$A$8,1),1)))))/(INDEX($A$5:$A$8,MAX(1,MIN(3,IFERROR(MATCH(B13,$A$5:$A$8,1),1)))+1)-INDEX($A$5:$A$8,MAX(1,MIN(3,IFERROR(MATCH(B13,$A$5:$A$8,1),1)))))</f>
        <v>160.654311050478</v>
      </c>
      <c r="C14" s="10" t="n">
        <f aca="false">INDEX($B$5:$B$8,MAX(1,MIN(3,IFERROR(MATCH(C13,$A$5:$A$8,1),1))))+(C13-INDEX($A$5:$A$8,MAX(1,MIN(3,IFERROR(MATCH(C13,$A$5:$A$8,1),1)))))*(INDEX($B$5:$B$8,MAX(1,MIN(3,IFERROR(MATCH(C13,$A$5:$A$8,1),1)))+1)-INDEX($B$5:$B$8,MAX(1,MIN(3,IFERROR(MATCH(C13,$A$5:$A$8,1),1)))))/(INDEX($A$5:$A$8,MAX(1,MIN(3,IFERROR(MATCH(C13,$A$5:$A$8,1),1)))+1)-INDEX($A$5:$A$8,MAX(1,MIN(3,IFERROR(MATCH(C13,$A$5:$A$8,1),1)))))</f>
        <v>409.481019989749</v>
      </c>
      <c r="D14" s="10" t="n">
        <f aca="false">INDEX($B$5:$B$8,MAX(1,MIN(3,IFERROR(MATCH(D13,$A$5:$A$8,1),1))))+(D13-INDEX($A$5:$A$8,MAX(1,MIN(3,IFERROR(MATCH(D13,$A$5:$A$8,1),1)))))*(INDEX($B$5:$B$8,MAX(1,MIN(3,IFERROR(MATCH(D13,$A$5:$A$8,1),1)))+1)-INDEX($B$5:$B$8,MAX(1,MIN(3,IFERROR(MATCH(D13,$A$5:$A$8,1),1)))))/(INDEX($A$5:$A$8,MAX(1,MIN(3,IFERROR(MATCH(D13,$A$5:$A$8,1),1)))+1)-INDEX($A$5:$A$8,MAX(1,MIN(3,IFERROR(MATCH(D13,$A$5:$A$8,1),1)))))</f>
        <v>90.4662295081967</v>
      </c>
      <c r="E14" s="3" t="s">
        <v>166</v>
      </c>
    </row>
    <row r="15" customFormat="false" ht="15" hidden="false" customHeight="false" outlineLevel="0" collapsed="false">
      <c r="A15" s="2" t="s">
        <v>167</v>
      </c>
      <c r="B15" s="10" t="n">
        <f aca="false">INDEX($C$5:$C$8,MAX(1,MIN(3,IFERROR(MATCH(B13,$A$5:$A$8,1),1))))+(B13-INDEX($A$5:$A$8,MAX(1,MIN(3,IFERROR(MATCH(B13,$A$5:$A$8,1),1)))))*(INDEX($C$5:$C$8,MAX(1,MIN(3,IFERROR(MATCH(B13,$A$5:$A$8,1),1)))+1)-INDEX($C$5:$C$8,MAX(1,MIN(3,IFERROR(MATCH(B13,$A$5:$A$8,1),1)))))/(INDEX($A$5:$A$8,MAX(1,MIN(3,IFERROR(MATCH(B13,$A$5:$A$8,1),1)))+1)-INDEX($A$5:$A$8,MAX(1,MIN(3,IFERROR(MATCH(B13,$A$5:$A$8,1),1)))))</f>
        <v>355.611909959072</v>
      </c>
      <c r="C15" s="10" t="n">
        <f aca="false">INDEX($C$5:$C$8,MAX(1,MIN(3,IFERROR(MATCH(C13,$A$5:$A$8,1),1))))+(C13-INDEX($A$5:$A$8,MAX(1,MIN(3,IFERROR(MATCH(C13,$A$5:$A$8,1),1)))))*(INDEX($C$5:$C$8,MAX(1,MIN(3,IFERROR(MATCH(C13,$A$5:$A$8,1),1)))+1)-INDEX($C$5:$C$8,MAX(1,MIN(3,IFERROR(MATCH(C13,$A$5:$A$8,1),1)))))/(INDEX($A$5:$A$8,MAX(1,MIN(3,IFERROR(MATCH(C13,$A$5:$A$8,1),1)))+1)-INDEX($A$5:$A$8,MAX(1,MIN(3,IFERROR(MATCH(C13,$A$5:$A$8,1),1)))))</f>
        <v>576.138498206048</v>
      </c>
      <c r="D15" s="10" t="n">
        <f aca="false">INDEX($C$5:$C$8,MAX(1,MIN(3,IFERROR(MATCH(D13,$A$5:$A$8,1),1))))+(D13-INDEX($A$5:$A$8,MAX(1,MIN(3,IFERROR(MATCH(D13,$A$5:$A$8,1),1)))))*(INDEX($C$5:$C$8,MAX(1,MIN(3,IFERROR(MATCH(D13,$A$5:$A$8,1),1)))+1)-INDEX($C$5:$C$8,MAX(1,MIN(3,IFERROR(MATCH(D13,$A$5:$A$8,1),1)))))/(INDEX($A$5:$A$8,MAX(1,MIN(3,IFERROR(MATCH(D13,$A$5:$A$8,1),1)))+1)-INDEX($A$5:$A$8,MAX(1,MIN(3,IFERROR(MATCH(D13,$A$5:$A$8,1),1)))))</f>
        <v>176.91862295082</v>
      </c>
      <c r="E15" s="2"/>
    </row>
    <row r="16" customFormat="false" ht="15" hidden="false" customHeight="false" outlineLevel="0" collapsed="false">
      <c r="A16" s="2" t="s">
        <v>168</v>
      </c>
      <c r="B16" s="10" t="n">
        <f aca="false">INDEX($D$5:$D$8,MAX(1,MIN(3,IFERROR(MATCH(B13,$A$5:$A$8,1),1))))+(B13-INDEX($A$5:$A$8,MAX(1,MIN(3,IFERROR(MATCH(B13,$A$5:$A$8,1),1)))))*(INDEX($D$5:$D$8,MAX(1,MIN(3,IFERROR(MATCH(B13,$A$5:$A$8,1),1)))+1)-INDEX($D$5:$D$8,MAX(1,MIN(3,IFERROR(MATCH(B13,$A$5:$A$8,1),1)))))/(INDEX($A$5:$A$8,MAX(1,MIN(3,IFERROR(MATCH(B13,$A$5:$A$8,1),1)))+1)-INDEX($A$5:$A$8,MAX(1,MIN(3,IFERROR(MATCH(B13,$A$5:$A$8,1),1)))))</f>
        <v>263.399154160982</v>
      </c>
      <c r="C16" s="10" t="n">
        <f aca="false">INDEX($D$5:$D$8,MAX(1,MIN(3,IFERROR(MATCH(C13,$A$5:$A$8,1),1))))+(C13-INDEX($A$5:$A$8,MAX(1,MIN(3,IFERROR(MATCH(C13,$A$5:$A$8,1),1)))))*(INDEX($D$5:$D$8,MAX(1,MIN(3,IFERROR(MATCH(C13,$A$5:$A$8,1),1)))+1)-INDEX($D$5:$D$8,MAX(1,MIN(3,IFERROR(MATCH(C13,$A$5:$A$8,1),1)))))/(INDEX($A$5:$A$8,MAX(1,MIN(3,IFERROR(MATCH(C13,$A$5:$A$8,1),1)))+1)-INDEX($A$5:$A$8,MAX(1,MIN(3,IFERROR(MATCH(C13,$A$5:$A$8,1),1)))))</f>
        <v>614.563997949769</v>
      </c>
      <c r="D16" s="10" t="n">
        <f aca="false">INDEX($D$5:$D$8,MAX(1,MIN(3,IFERROR(MATCH(D13,$A$5:$A$8,1),1))))+(D13-INDEX($A$5:$A$8,MAX(1,MIN(3,IFERROR(MATCH(D13,$A$5:$A$8,1),1)))))*(INDEX($D$5:$D$8,MAX(1,MIN(3,IFERROR(MATCH(D13,$A$5:$A$8,1),1)))+1)-INDEX($D$5:$D$8,MAX(1,MIN(3,IFERROR(MATCH(D13,$A$5:$A$8,1),1)))))/(INDEX($A$5:$A$8,MAX(1,MIN(3,IFERROR(MATCH(D13,$A$5:$A$8,1),1)))+1)-INDEX($A$5:$A$8,MAX(1,MIN(3,IFERROR(MATCH(D13,$A$5:$A$8,1),1)))))</f>
        <v>138.308098360656</v>
      </c>
      <c r="E16" s="2"/>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U101"/>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2" ySplit="4" topLeftCell="C5" activePane="bottomRight" state="frozen"/>
      <selection pane="topLeft" activeCell="A1" activeCellId="0" sqref="A1"/>
      <selection pane="topRight" activeCell="C1" activeCellId="0" sqref="C1"/>
      <selection pane="bottomLeft" activeCell="A5" activeCellId="0" sqref="A5"/>
      <selection pane="bottomRight" activeCell="A1" activeCellId="0" sqref="A1"/>
    </sheetView>
  </sheetViews>
  <sheetFormatPr defaultColWidth="8.6796875" defaultRowHeight="15" zeroHeight="false" outlineLevelRow="0" outlineLevelCol="0"/>
  <cols>
    <col collapsed="false" customWidth="true" hidden="false" outlineLevel="0" max="1" min="1" style="0" width="30"/>
    <col collapsed="false" customWidth="true" hidden="false" outlineLevel="0" max="2" min="2" style="0" width="11"/>
    <col collapsed="false" customWidth="true" hidden="false" outlineLevel="0" max="3" min="3" style="0" width="24"/>
    <col collapsed="false" customWidth="true" hidden="false" outlineLevel="0" max="4" min="4" style="0" width="18"/>
    <col collapsed="false" customWidth="true" hidden="false" outlineLevel="0" max="5" min="5" style="0" width="14"/>
    <col collapsed="false" customWidth="true" hidden="false" outlineLevel="0" max="6" min="6" style="0" width="10"/>
    <col collapsed="false" customWidth="true" hidden="false" outlineLevel="0" max="7" min="7" style="0" width="6"/>
    <col collapsed="false" customWidth="true" hidden="false" outlineLevel="0" max="9" min="8" style="0" width="8"/>
    <col collapsed="false" customWidth="true" hidden="false" outlineLevel="0" max="10" min="10" style="0" width="9"/>
    <col collapsed="false" customWidth="true" hidden="false" outlineLevel="0" max="11" min="11" style="0" width="10"/>
    <col collapsed="false" customWidth="true" hidden="false" outlineLevel="0" max="12" min="12" style="0" width="8"/>
    <col collapsed="false" customWidth="true" hidden="false" outlineLevel="0" max="13" min="13" style="0" width="11"/>
    <col collapsed="false" customWidth="true" hidden="false" outlineLevel="0" max="15" min="14" style="0" width="12"/>
    <col collapsed="false" customWidth="true" hidden="false" outlineLevel="0" max="16" min="16" style="0" width="11"/>
    <col collapsed="false" customWidth="true" hidden="false" outlineLevel="0" max="17" min="17" style="0" width="8"/>
    <col collapsed="false" customWidth="true" hidden="false" outlineLevel="0" max="19" min="18" style="0" width="12"/>
    <col collapsed="false" customWidth="true" hidden="false" outlineLevel="0" max="20" min="20" style="0" width="9"/>
    <col collapsed="false" customWidth="true" hidden="false" outlineLevel="0" max="21" min="21" style="0" width="14"/>
  </cols>
  <sheetData>
    <row r="1" customFormat="false" ht="17.35" hidden="false" customHeight="false" outlineLevel="0" collapsed="false">
      <c r="A1" s="1" t="s">
        <v>169</v>
      </c>
      <c r="B1" s="2"/>
      <c r="C1" s="2"/>
      <c r="D1" s="2"/>
      <c r="E1" s="2"/>
      <c r="F1" s="2"/>
      <c r="G1" s="2"/>
      <c r="H1" s="2"/>
      <c r="I1" s="2"/>
      <c r="J1" s="2"/>
      <c r="K1" s="2"/>
      <c r="L1" s="2"/>
      <c r="M1" s="2"/>
      <c r="N1" s="2"/>
      <c r="O1" s="2"/>
      <c r="P1" s="2"/>
      <c r="Q1" s="2"/>
      <c r="R1" s="2"/>
      <c r="S1" s="2"/>
      <c r="T1" s="2"/>
      <c r="U1" s="2"/>
    </row>
    <row r="2" customFormat="false" ht="15" hidden="false" customHeight="false" outlineLevel="0" collapsed="false">
      <c r="A2" s="3" t="s">
        <v>170</v>
      </c>
      <c r="B2" s="2"/>
      <c r="C2" s="2"/>
      <c r="D2" s="2"/>
      <c r="E2" s="2"/>
      <c r="F2" s="2"/>
      <c r="G2" s="2"/>
      <c r="H2" s="2"/>
      <c r="I2" s="2"/>
      <c r="J2" s="2"/>
      <c r="K2" s="2"/>
      <c r="L2" s="2"/>
      <c r="M2" s="2"/>
      <c r="N2" s="2"/>
      <c r="O2" s="2"/>
      <c r="P2" s="2"/>
      <c r="Q2" s="2"/>
      <c r="R2" s="2"/>
      <c r="S2" s="2"/>
      <c r="T2" s="2"/>
      <c r="U2" s="2"/>
    </row>
    <row r="3" customFormat="false" ht="15" hidden="false" customHeight="false" outlineLevel="0" collapsed="false">
      <c r="A3" s="2"/>
      <c r="B3" s="2"/>
      <c r="C3" s="2"/>
      <c r="D3" s="2"/>
      <c r="E3" s="2"/>
      <c r="F3" s="2"/>
      <c r="G3" s="2"/>
      <c r="H3" s="2"/>
      <c r="I3" s="2"/>
      <c r="J3" s="2"/>
      <c r="K3" s="2"/>
      <c r="L3" s="2"/>
      <c r="M3" s="2"/>
      <c r="N3" s="2"/>
      <c r="O3" s="2"/>
      <c r="P3" s="2"/>
      <c r="Q3" s="2"/>
      <c r="R3" s="2"/>
      <c r="S3" s="2"/>
      <c r="T3" s="2"/>
      <c r="U3" s="2"/>
    </row>
    <row r="4" customFormat="false" ht="30" hidden="false" customHeight="true" outlineLevel="0" collapsed="false">
      <c r="A4" s="4" t="s">
        <v>171</v>
      </c>
      <c r="B4" s="4" t="s">
        <v>172</v>
      </c>
      <c r="C4" s="4" t="s">
        <v>173</v>
      </c>
      <c r="D4" s="4" t="s">
        <v>174</v>
      </c>
      <c r="E4" s="4" t="s">
        <v>175</v>
      </c>
      <c r="F4" s="4" t="s">
        <v>176</v>
      </c>
      <c r="G4" s="4" t="s">
        <v>177</v>
      </c>
      <c r="H4" s="4" t="s">
        <v>178</v>
      </c>
      <c r="I4" s="4" t="s">
        <v>179</v>
      </c>
      <c r="J4" s="4" t="s">
        <v>180</v>
      </c>
      <c r="K4" s="4" t="s">
        <v>181</v>
      </c>
      <c r="L4" s="4" t="s">
        <v>182</v>
      </c>
      <c r="M4" s="4" t="s">
        <v>183</v>
      </c>
      <c r="N4" s="4" t="s">
        <v>184</v>
      </c>
      <c r="O4" s="4" t="s">
        <v>185</v>
      </c>
      <c r="P4" s="4" t="s">
        <v>186</v>
      </c>
      <c r="Q4" s="4" t="s">
        <v>187</v>
      </c>
      <c r="R4" s="4" t="s">
        <v>188</v>
      </c>
      <c r="S4" s="4" t="s">
        <v>189</v>
      </c>
      <c r="T4" s="4" t="s">
        <v>190</v>
      </c>
      <c r="U4" s="4" t="s">
        <v>191</v>
      </c>
    </row>
    <row r="5" customFormat="false" ht="15" hidden="false" customHeight="false" outlineLevel="0" collapsed="false">
      <c r="A5" s="2" t="s">
        <v>192</v>
      </c>
      <c r="B5" s="2" t="s">
        <v>193</v>
      </c>
      <c r="C5" s="2" t="s">
        <v>194</v>
      </c>
      <c r="D5" s="2" t="s">
        <v>195</v>
      </c>
      <c r="E5" s="2" t="s">
        <v>196</v>
      </c>
      <c r="F5" s="2" t="s">
        <v>197</v>
      </c>
      <c r="G5" s="2" t="n">
        <v>0</v>
      </c>
      <c r="H5" s="2" t="n">
        <v>64</v>
      </c>
      <c r="I5" s="2" t="n">
        <v>0</v>
      </c>
      <c r="J5" s="35" t="n">
        <v>1</v>
      </c>
      <c r="K5" s="6" t="n">
        <f aca="false">J5*Supuestos!B$5</f>
        <v>135</v>
      </c>
      <c r="L5" s="6" t="n">
        <f aca="false">IF(OR(U5="Resistors",U5="Capacitors"),ROUNDUP(K5*Supuestos!$B$16,0)+Supuestos!$B$17,ROUNDUP(K5*Supuestos!$B$18,0)+Supuestos!$B$19)</f>
        <v>3</v>
      </c>
      <c r="M5" s="6" t="n">
        <f aca="false">K5+L5</f>
        <v>138</v>
      </c>
      <c r="N5" s="33" t="n">
        <v>7.2426</v>
      </c>
      <c r="O5" s="22" t="n">
        <v>2</v>
      </c>
      <c r="P5" s="6" t="n">
        <f aca="false">SUMIF(BOM_V56!$B:$B,B5,BOM_V56!$M:$M)+SUMIF(BOM_V57!$B:$B,B5,BOM_V57!$M:$M)+SUMIF(BOM_v6!$B:$B,B5,BOM_v6!$M:$M)</f>
        <v>570</v>
      </c>
      <c r="Q5" s="2" t="str">
        <f aca="false">IF(P5&gt;O5,"SÍ","")</f>
        <v>SÍ</v>
      </c>
      <c r="R5" s="38" t="n">
        <f aca="false">N5*(1+IF(Q5="SÍ",Supuestos!$B$14,0))</f>
        <v>8.32899</v>
      </c>
      <c r="S5" s="10" t="n">
        <f aca="false">M5*R5</f>
        <v>1149.40062</v>
      </c>
      <c r="T5" s="2"/>
      <c r="U5" s="2" t="s">
        <v>198</v>
      </c>
    </row>
    <row r="6" customFormat="false" ht="15" hidden="false" customHeight="false" outlineLevel="0" collapsed="false">
      <c r="A6" s="2" t="s">
        <v>199</v>
      </c>
      <c r="B6" s="2" t="s">
        <v>200</v>
      </c>
      <c r="C6" s="2" t="s">
        <v>201</v>
      </c>
      <c r="D6" s="2" t="s">
        <v>202</v>
      </c>
      <c r="E6" s="2" t="s">
        <v>203</v>
      </c>
      <c r="F6" s="2" t="s">
        <v>197</v>
      </c>
      <c r="G6" s="2" t="n">
        <v>0</v>
      </c>
      <c r="H6" s="2" t="n">
        <v>25</v>
      </c>
      <c r="I6" s="2" t="n">
        <v>0</v>
      </c>
      <c r="J6" s="35" t="n">
        <v>1</v>
      </c>
      <c r="K6" s="6" t="n">
        <f aca="false">J6*Supuestos!B$5</f>
        <v>135</v>
      </c>
      <c r="L6" s="6" t="n">
        <f aca="false">IF(OR(U6="Resistors",U6="Capacitors"),ROUNDUP(K6*Supuestos!$B$16,0)+Supuestos!$B$17,ROUNDUP(K6*Supuestos!$B$18,0)+Supuestos!$B$19)</f>
        <v>3</v>
      </c>
      <c r="M6" s="6" t="n">
        <f aca="false">K6+L6</f>
        <v>138</v>
      </c>
      <c r="N6" s="33" t="n">
        <v>7.2672</v>
      </c>
      <c r="O6" s="22" t="n">
        <v>2211</v>
      </c>
      <c r="P6" s="6" t="n">
        <f aca="false">SUMIF(BOM_V56!$B:$B,B6,BOM_V56!$M:$M)+SUMIF(BOM_V57!$B:$B,B6,BOM_V57!$M:$M)+SUMIF(BOM_v6!$B:$B,B6,BOM_v6!$M:$M)</f>
        <v>570</v>
      </c>
      <c r="Q6" s="2" t="str">
        <f aca="false">IF(P6&gt;O6,"SÍ","")</f>
        <v/>
      </c>
      <c r="R6" s="38" t="n">
        <f aca="false">N6*(1+IF(Q6="SÍ",Supuestos!$B$14,0))</f>
        <v>7.2672</v>
      </c>
      <c r="S6" s="10" t="n">
        <f aca="false">M6*R6</f>
        <v>1002.8736</v>
      </c>
      <c r="T6" s="2"/>
      <c r="U6" s="2" t="s">
        <v>204</v>
      </c>
    </row>
    <row r="7" customFormat="false" ht="15" hidden="false" customHeight="false" outlineLevel="0" collapsed="false">
      <c r="A7" s="2" t="s">
        <v>205</v>
      </c>
      <c r="B7" s="2" t="s">
        <v>206</v>
      </c>
      <c r="C7" s="2" t="s">
        <v>207</v>
      </c>
      <c r="D7" s="2" t="s">
        <v>208</v>
      </c>
      <c r="E7" s="2" t="s">
        <v>209</v>
      </c>
      <c r="F7" s="2" t="s">
        <v>197</v>
      </c>
      <c r="G7" s="2" t="n">
        <v>0</v>
      </c>
      <c r="H7" s="2" t="n">
        <v>28</v>
      </c>
      <c r="I7" s="2" t="n">
        <v>0</v>
      </c>
      <c r="J7" s="35" t="n">
        <v>1</v>
      </c>
      <c r="K7" s="6" t="n">
        <f aca="false">J7*Supuestos!B$5</f>
        <v>135</v>
      </c>
      <c r="L7" s="6" t="n">
        <f aca="false">IF(OR(U7="Resistors",U7="Capacitors"),ROUNDUP(K7*Supuestos!$B$16,0)+Supuestos!$B$17,ROUNDUP(K7*Supuestos!$B$18,0)+Supuestos!$B$19)</f>
        <v>3</v>
      </c>
      <c r="M7" s="6" t="n">
        <f aca="false">K7+L7</f>
        <v>138</v>
      </c>
      <c r="N7" s="33" t="n">
        <v>5.0297</v>
      </c>
      <c r="O7" s="22" t="n">
        <v>7982</v>
      </c>
      <c r="P7" s="6" t="n">
        <f aca="false">SUMIF(BOM_V56!$B:$B,B7,BOM_V56!$M:$M)+SUMIF(BOM_V57!$B:$B,B7,BOM_V57!$M:$M)+SUMIF(BOM_v6!$B:$B,B7,BOM_v6!$M:$M)</f>
        <v>570</v>
      </c>
      <c r="Q7" s="2" t="str">
        <f aca="false">IF(P7&gt;O7,"SÍ","")</f>
        <v/>
      </c>
      <c r="R7" s="38" t="n">
        <f aca="false">N7*(1+IF(Q7="SÍ",Supuestos!$B$14,0))</f>
        <v>5.0297</v>
      </c>
      <c r="S7" s="10" t="n">
        <f aca="false">M7*R7</f>
        <v>694.0986</v>
      </c>
      <c r="T7" s="2"/>
      <c r="U7" s="2" t="s">
        <v>210</v>
      </c>
    </row>
    <row r="8" customFormat="false" ht="15" hidden="false" customHeight="false" outlineLevel="0" collapsed="false">
      <c r="A8" s="2" t="s">
        <v>211</v>
      </c>
      <c r="B8" s="2" t="s">
        <v>212</v>
      </c>
      <c r="C8" s="2" t="s">
        <v>213</v>
      </c>
      <c r="D8" s="2" t="s">
        <v>214</v>
      </c>
      <c r="E8" s="2" t="s">
        <v>215</v>
      </c>
      <c r="F8" s="2" t="s">
        <v>197</v>
      </c>
      <c r="G8" s="2" t="n">
        <v>0</v>
      </c>
      <c r="H8" s="2" t="n">
        <v>9</v>
      </c>
      <c r="I8" s="2" t="n">
        <v>0</v>
      </c>
      <c r="J8" s="35" t="n">
        <v>2</v>
      </c>
      <c r="K8" s="6" t="n">
        <f aca="false">J8*Supuestos!B$5</f>
        <v>270</v>
      </c>
      <c r="L8" s="6" t="n">
        <f aca="false">IF(OR(U8="Resistors",U8="Capacitors"),ROUNDUP(K8*Supuestos!$B$16,0)+Supuestos!$B$17,ROUNDUP(K8*Supuestos!$B$18,0)+Supuestos!$B$19)</f>
        <v>4</v>
      </c>
      <c r="M8" s="6" t="n">
        <f aca="false">K8+L8</f>
        <v>274</v>
      </c>
      <c r="N8" s="33" t="n">
        <v>2.4371</v>
      </c>
      <c r="O8" s="22" t="n">
        <v>1189</v>
      </c>
      <c r="P8" s="6" t="n">
        <f aca="false">SUMIF(BOM_V56!$B:$B,B8,BOM_V56!$M:$M)+SUMIF(BOM_V57!$B:$B,B8,BOM_V57!$M:$M)+SUMIF(BOM_v6!$B:$B,B8,BOM_v6!$M:$M)</f>
        <v>706</v>
      </c>
      <c r="Q8" s="2" t="str">
        <f aca="false">IF(P8&gt;O8,"SÍ","")</f>
        <v/>
      </c>
      <c r="R8" s="38" t="n">
        <f aca="false">N8*(1+IF(Q8="SÍ",Supuestos!$B$14,0))</f>
        <v>2.4371</v>
      </c>
      <c r="S8" s="10" t="n">
        <f aca="false">M8*R8</f>
        <v>667.7654</v>
      </c>
      <c r="T8" s="2"/>
      <c r="U8" s="2" t="s">
        <v>216</v>
      </c>
    </row>
    <row r="9" customFormat="false" ht="15" hidden="false" customHeight="false" outlineLevel="0" collapsed="false">
      <c r="A9" s="2" t="s">
        <v>217</v>
      </c>
      <c r="B9" s="2" t="s">
        <v>218</v>
      </c>
      <c r="C9" s="2" t="s">
        <v>219</v>
      </c>
      <c r="D9" s="2" t="s">
        <v>220</v>
      </c>
      <c r="E9" s="2" t="s">
        <v>221</v>
      </c>
      <c r="F9" s="2" t="s">
        <v>197</v>
      </c>
      <c r="G9" s="2" t="n">
        <v>0</v>
      </c>
      <c r="H9" s="2" t="n">
        <v>48</v>
      </c>
      <c r="I9" s="2" t="n">
        <v>0</v>
      </c>
      <c r="J9" s="35" t="n">
        <v>1</v>
      </c>
      <c r="K9" s="6" t="n">
        <f aca="false">J9*Supuestos!B$5</f>
        <v>135</v>
      </c>
      <c r="L9" s="6" t="n">
        <f aca="false">IF(OR(U9="Resistors",U9="Capacitors"),ROUNDUP(K9*Supuestos!$B$16,0)+Supuestos!$B$17,ROUNDUP(K9*Supuestos!$B$18,0)+Supuestos!$B$19)</f>
        <v>3</v>
      </c>
      <c r="M9" s="6" t="n">
        <f aca="false">K9+L9</f>
        <v>138</v>
      </c>
      <c r="N9" s="33" t="n">
        <v>1.9772</v>
      </c>
      <c r="O9" s="22" t="n">
        <v>23249</v>
      </c>
      <c r="P9" s="6" t="n">
        <f aca="false">SUMIF(BOM_V56!$B:$B,B9,BOM_V56!$M:$M)+SUMIF(BOM_V57!$B:$B,B9,BOM_V57!$M:$M)+SUMIF(BOM_v6!$B:$B,B9,BOM_v6!$M:$M)</f>
        <v>570</v>
      </c>
      <c r="Q9" s="2" t="str">
        <f aca="false">IF(P9&gt;O9,"SÍ","")</f>
        <v/>
      </c>
      <c r="R9" s="38" t="n">
        <f aca="false">N9*(1+IF(Q9="SÍ",Supuestos!$B$14,0))</f>
        <v>1.9772</v>
      </c>
      <c r="S9" s="10" t="n">
        <f aca="false">M9*R9</f>
        <v>272.8536</v>
      </c>
      <c r="T9" s="2"/>
      <c r="U9" s="2" t="s">
        <v>210</v>
      </c>
    </row>
    <row r="10" customFormat="false" ht="15" hidden="false" customHeight="false" outlineLevel="0" collapsed="false">
      <c r="A10" s="2" t="s">
        <v>222</v>
      </c>
      <c r="B10" s="2" t="s">
        <v>223</v>
      </c>
      <c r="C10" s="2" t="s">
        <v>224</v>
      </c>
      <c r="D10" s="2" t="s">
        <v>225</v>
      </c>
      <c r="E10" s="39" t="s">
        <v>226</v>
      </c>
      <c r="F10" s="2" t="s">
        <v>197</v>
      </c>
      <c r="G10" s="2" t="n">
        <v>1</v>
      </c>
      <c r="H10" s="2" t="n">
        <v>0</v>
      </c>
      <c r="I10" s="2" t="n">
        <v>20</v>
      </c>
      <c r="J10" s="35" t="n">
        <v>2</v>
      </c>
      <c r="K10" s="6" t="n">
        <f aca="false">J10*Supuestos!B$5</f>
        <v>270</v>
      </c>
      <c r="L10" s="6" t="n">
        <f aca="false">IF(OR(U10="Resistors",U10="Capacitors"),ROUNDUP(K10*Supuestos!$B$16,0)+Supuestos!$B$17,ROUNDUP(K10*Supuestos!$B$18,0)+Supuestos!$B$19)</f>
        <v>4</v>
      </c>
      <c r="M10" s="6" t="n">
        <f aca="false">K10+L10</f>
        <v>274</v>
      </c>
      <c r="N10" s="33" t="n">
        <v>0.8953</v>
      </c>
      <c r="O10" s="22" t="n">
        <v>2769</v>
      </c>
      <c r="P10" s="6" t="n">
        <f aca="false">SUMIF(BOM_V56!$B:$B,B10,BOM_V56!$M:$M)+SUMIF(BOM_V57!$B:$B,B10,BOM_V57!$M:$M)+SUMIF(BOM_v6!$B:$B,B10,BOM_v6!$M:$M)</f>
        <v>1136</v>
      </c>
      <c r="Q10" s="2" t="str">
        <f aca="false">IF(P10&gt;O10,"SÍ","")</f>
        <v/>
      </c>
      <c r="R10" s="38" t="n">
        <f aca="false">N10*(1+IF(Q10="SÍ",Supuestos!$B$14,0))</f>
        <v>0.8953</v>
      </c>
      <c r="S10" s="10" t="n">
        <f aca="false">M10*R10</f>
        <v>245.3122</v>
      </c>
      <c r="T10" s="2"/>
      <c r="U10" s="2" t="s">
        <v>227</v>
      </c>
    </row>
    <row r="11" customFormat="false" ht="15" hidden="false" customHeight="false" outlineLevel="0" collapsed="false">
      <c r="A11" s="2" t="s">
        <v>228</v>
      </c>
      <c r="B11" s="2" t="s">
        <v>229</v>
      </c>
      <c r="C11" s="2" t="s">
        <v>230</v>
      </c>
      <c r="D11" s="2" t="s">
        <v>231</v>
      </c>
      <c r="E11" s="2" t="s">
        <v>232</v>
      </c>
      <c r="F11" s="2" t="s">
        <v>197</v>
      </c>
      <c r="G11" s="2" t="n">
        <v>0</v>
      </c>
      <c r="H11" s="2" t="n">
        <v>9</v>
      </c>
      <c r="I11" s="2" t="n">
        <v>0</v>
      </c>
      <c r="J11" s="35" t="n">
        <v>1</v>
      </c>
      <c r="K11" s="6" t="n">
        <f aca="false">J11*Supuestos!B$5</f>
        <v>135</v>
      </c>
      <c r="L11" s="6" t="n">
        <f aca="false">IF(OR(U11="Resistors",U11="Capacitors"),ROUNDUP(K11*Supuestos!$B$16,0)+Supuestos!$B$17,ROUNDUP(K11*Supuestos!$B$18,0)+Supuestos!$B$19)</f>
        <v>3</v>
      </c>
      <c r="M11" s="6" t="n">
        <f aca="false">K11+L11</f>
        <v>138</v>
      </c>
      <c r="N11" s="33" t="n">
        <v>1.2423</v>
      </c>
      <c r="O11" s="22" t="n">
        <v>1</v>
      </c>
      <c r="P11" s="6" t="n">
        <f aca="false">SUMIF(BOM_V56!$B:$B,B11,BOM_V56!$M:$M)+SUMIF(BOM_V57!$B:$B,B11,BOM_V57!$M:$M)+SUMIF(BOM_v6!$B:$B,B11,BOM_v6!$M:$M)</f>
        <v>570</v>
      </c>
      <c r="Q11" s="2" t="str">
        <f aca="false">IF(P11&gt;O11,"SÍ","")</f>
        <v>SÍ</v>
      </c>
      <c r="R11" s="38" t="n">
        <f aca="false">N11*(1+IF(Q11="SÍ",Supuestos!$B$14,0))</f>
        <v>1.428645</v>
      </c>
      <c r="S11" s="10" t="n">
        <f aca="false">M11*R11</f>
        <v>197.15301</v>
      </c>
      <c r="T11" s="2"/>
      <c r="U11" s="2" t="s">
        <v>216</v>
      </c>
    </row>
    <row r="12" customFormat="false" ht="15" hidden="false" customHeight="false" outlineLevel="0" collapsed="false">
      <c r="A12" s="2" t="s">
        <v>233</v>
      </c>
      <c r="B12" s="2" t="s">
        <v>234</v>
      </c>
      <c r="C12" s="2" t="s">
        <v>235</v>
      </c>
      <c r="D12" s="2" t="s">
        <v>236</v>
      </c>
      <c r="E12" s="2" t="s">
        <v>237</v>
      </c>
      <c r="F12" s="2" t="s">
        <v>238</v>
      </c>
      <c r="G12" s="2" t="n">
        <v>0</v>
      </c>
      <c r="H12" s="2" t="n">
        <v>2</v>
      </c>
      <c r="I12" s="2" t="n">
        <v>0</v>
      </c>
      <c r="J12" s="35" t="n">
        <v>10</v>
      </c>
      <c r="K12" s="6" t="n">
        <f aca="false">J12*Supuestos!B$5</f>
        <v>1350</v>
      </c>
      <c r="L12" s="6" t="n">
        <f aca="false">IF(OR(U12="Resistors",U12="Capacitors"),ROUNDUP(K12*Supuestos!$B$16,0)+Supuestos!$B$17,ROUNDUP(K12*Supuestos!$B$18,0)+Supuestos!$B$19)</f>
        <v>32</v>
      </c>
      <c r="M12" s="6" t="n">
        <f aca="false">K12+L12</f>
        <v>1382</v>
      </c>
      <c r="N12" s="33" t="n">
        <v>0.131</v>
      </c>
      <c r="O12" s="22" t="n">
        <v>4117506</v>
      </c>
      <c r="P12" s="6" t="n">
        <f aca="false">SUMIF(BOM_V56!$B:$B,B12,BOM_V56!$M:$M)+SUMIF(BOM_V57!$B:$B,B12,BOM_V57!$M:$M)+SUMIF(BOM_v6!$B:$B,B12,BOM_v6!$M:$M)</f>
        <v>5110</v>
      </c>
      <c r="Q12" s="2" t="str">
        <f aca="false">IF(P12&gt;O12,"SÍ","")</f>
        <v/>
      </c>
      <c r="R12" s="38" t="n">
        <f aca="false">N12*(1+IF(Q12="SÍ",Supuestos!$B$14,0))</f>
        <v>0.131</v>
      </c>
      <c r="S12" s="10" t="n">
        <f aca="false">M12*R12</f>
        <v>181.042</v>
      </c>
      <c r="T12" s="2"/>
      <c r="U12" s="2" t="s">
        <v>239</v>
      </c>
    </row>
    <row r="13" customFormat="false" ht="15" hidden="false" customHeight="false" outlineLevel="0" collapsed="false">
      <c r="A13" s="2" t="s">
        <v>240</v>
      </c>
      <c r="B13" s="2" t="s">
        <v>241</v>
      </c>
      <c r="C13" s="2" t="s">
        <v>242</v>
      </c>
      <c r="D13" s="2" t="s">
        <v>208</v>
      </c>
      <c r="E13" s="2" t="s">
        <v>243</v>
      </c>
      <c r="F13" s="2" t="s">
        <v>197</v>
      </c>
      <c r="G13" s="2" t="n">
        <v>0</v>
      </c>
      <c r="H13" s="2" t="n">
        <v>16</v>
      </c>
      <c r="I13" s="2" t="n">
        <v>0</v>
      </c>
      <c r="J13" s="35" t="n">
        <v>1</v>
      </c>
      <c r="K13" s="6" t="n">
        <f aca="false">J13*Supuestos!B$5</f>
        <v>135</v>
      </c>
      <c r="L13" s="6" t="n">
        <f aca="false">IF(OR(U13="Resistors",U13="Capacitors"),ROUNDUP(K13*Supuestos!$B$16,0)+Supuestos!$B$17,ROUNDUP(K13*Supuestos!$B$18,0)+Supuestos!$B$19)</f>
        <v>3</v>
      </c>
      <c r="M13" s="6" t="n">
        <f aca="false">K13+L13</f>
        <v>138</v>
      </c>
      <c r="N13" s="33" t="n">
        <v>1.2505</v>
      </c>
      <c r="O13" s="22" t="n">
        <v>18198</v>
      </c>
      <c r="P13" s="6" t="n">
        <f aca="false">SUMIF(BOM_V56!$B:$B,B13,BOM_V56!$M:$M)+SUMIF(BOM_V57!$B:$B,B13,BOM_V57!$M:$M)+SUMIF(BOM_v6!$B:$B,B13,BOM_v6!$M:$M)</f>
        <v>570</v>
      </c>
      <c r="Q13" s="2" t="str">
        <f aca="false">IF(P13&gt;O13,"SÍ","")</f>
        <v/>
      </c>
      <c r="R13" s="38" t="n">
        <f aca="false">N13*(1+IF(Q13="SÍ",Supuestos!$B$14,0))</f>
        <v>1.2505</v>
      </c>
      <c r="S13" s="10" t="n">
        <f aca="false">M13*R13</f>
        <v>172.569</v>
      </c>
      <c r="T13" s="2"/>
      <c r="U13" s="2" t="s">
        <v>210</v>
      </c>
    </row>
    <row r="14" customFormat="false" ht="15" hidden="false" customHeight="false" outlineLevel="0" collapsed="false">
      <c r="A14" s="2" t="s">
        <v>244</v>
      </c>
      <c r="B14" s="2" t="s">
        <v>245</v>
      </c>
      <c r="C14" s="2" t="s">
        <v>246</v>
      </c>
      <c r="D14" s="2" t="s">
        <v>247</v>
      </c>
      <c r="E14" s="2" t="s">
        <v>248</v>
      </c>
      <c r="F14" s="2" t="s">
        <v>197</v>
      </c>
      <c r="G14" s="2" t="n">
        <v>0</v>
      </c>
      <c r="H14" s="2" t="n">
        <v>4</v>
      </c>
      <c r="I14" s="2" t="n">
        <v>0</v>
      </c>
      <c r="J14" s="35" t="n">
        <v>1</v>
      </c>
      <c r="K14" s="6" t="n">
        <f aca="false">J14*Supuestos!B$5</f>
        <v>135</v>
      </c>
      <c r="L14" s="6" t="n">
        <f aca="false">IF(OR(U14="Resistors",U14="Capacitors"),ROUNDUP(K14*Supuestos!$B$16,0)+Supuestos!$B$17,ROUNDUP(K14*Supuestos!$B$18,0)+Supuestos!$B$19)</f>
        <v>3</v>
      </c>
      <c r="M14" s="6" t="n">
        <f aca="false">K14+L14</f>
        <v>138</v>
      </c>
      <c r="N14" s="33" t="n">
        <v>1.185</v>
      </c>
      <c r="O14" s="22" t="n">
        <v>5836</v>
      </c>
      <c r="P14" s="6" t="n">
        <f aca="false">SUMIF(BOM_V56!$B:$B,B14,BOM_V56!$M:$M)+SUMIF(BOM_V57!$B:$B,B14,BOM_V57!$M:$M)+SUMIF(BOM_v6!$B:$B,B14,BOM_v6!$M:$M)</f>
        <v>570</v>
      </c>
      <c r="Q14" s="2" t="str">
        <f aca="false">IF(P14&gt;O14,"SÍ","")</f>
        <v/>
      </c>
      <c r="R14" s="38" t="n">
        <f aca="false">N14*(1+IF(Q14="SÍ",Supuestos!$B$14,0))</f>
        <v>1.185</v>
      </c>
      <c r="S14" s="10" t="n">
        <f aca="false">M14*R14</f>
        <v>163.53</v>
      </c>
      <c r="T14" s="2"/>
      <c r="U14" s="2" t="s">
        <v>249</v>
      </c>
    </row>
    <row r="15" customFormat="false" ht="15" hidden="false" customHeight="false" outlineLevel="0" collapsed="false">
      <c r="A15" s="2" t="s">
        <v>250</v>
      </c>
      <c r="B15" s="2" t="s">
        <v>251</v>
      </c>
      <c r="C15" s="2" t="s">
        <v>252</v>
      </c>
      <c r="D15" s="2" t="s">
        <v>253</v>
      </c>
      <c r="E15" s="39" t="s">
        <v>226</v>
      </c>
      <c r="F15" s="2" t="s">
        <v>197</v>
      </c>
      <c r="G15" s="2" t="n">
        <v>1</v>
      </c>
      <c r="H15" s="2" t="n">
        <v>0</v>
      </c>
      <c r="I15" s="2" t="n">
        <v>14</v>
      </c>
      <c r="J15" s="35" t="n">
        <v>1</v>
      </c>
      <c r="K15" s="6" t="n">
        <f aca="false">J15*Supuestos!B$5</f>
        <v>135</v>
      </c>
      <c r="L15" s="6" t="n">
        <f aca="false">IF(OR(U15="Resistors",U15="Capacitors"),ROUNDUP(K15*Supuestos!$B$16,0)+Supuestos!$B$17,ROUNDUP(K15*Supuestos!$B$18,0)+Supuestos!$B$19)</f>
        <v>3</v>
      </c>
      <c r="M15" s="6" t="n">
        <f aca="false">K15+L15</f>
        <v>138</v>
      </c>
      <c r="N15" s="33" t="n">
        <v>1.0197</v>
      </c>
      <c r="O15" s="22" t="n">
        <v>69838</v>
      </c>
      <c r="P15" s="6" t="n">
        <f aca="false">SUMIF(BOM_V56!$B:$B,B15,BOM_V56!$M:$M)+SUMIF(BOM_V57!$B:$B,B15,BOM_V57!$M:$M)+SUMIF(BOM_v6!$B:$B,B15,BOM_v6!$M:$M)</f>
        <v>570</v>
      </c>
      <c r="Q15" s="2" t="str">
        <f aca="false">IF(P15&gt;O15,"SÍ","")</f>
        <v/>
      </c>
      <c r="R15" s="38" t="n">
        <f aca="false">N15*(1+IF(Q15="SÍ",Supuestos!$B$14,0))</f>
        <v>1.0197</v>
      </c>
      <c r="S15" s="10" t="n">
        <f aca="false">M15*R15</f>
        <v>140.7186</v>
      </c>
      <c r="T15" s="2"/>
      <c r="U15" s="2" t="s">
        <v>254</v>
      </c>
    </row>
    <row r="16" customFormat="false" ht="15" hidden="false" customHeight="false" outlineLevel="0" collapsed="false">
      <c r="A16" s="2" t="s">
        <v>255</v>
      </c>
      <c r="B16" s="2" t="s">
        <v>256</v>
      </c>
      <c r="C16" s="2" t="s">
        <v>257</v>
      </c>
      <c r="D16" s="2" t="s">
        <v>258</v>
      </c>
      <c r="E16" s="2" t="s">
        <v>259</v>
      </c>
      <c r="F16" s="2" t="s">
        <v>197</v>
      </c>
      <c r="G16" s="2" t="n">
        <v>0</v>
      </c>
      <c r="H16" s="2" t="n">
        <v>6</v>
      </c>
      <c r="I16" s="2" t="n">
        <v>0</v>
      </c>
      <c r="J16" s="35" t="n">
        <v>2</v>
      </c>
      <c r="K16" s="6" t="n">
        <f aca="false">J16*Supuestos!B$5</f>
        <v>270</v>
      </c>
      <c r="L16" s="6" t="n">
        <f aca="false">IF(OR(U16="Resistors",U16="Capacitors"),ROUNDUP(K16*Supuestos!$B$16,0)+Supuestos!$B$17,ROUNDUP(K16*Supuestos!$B$18,0)+Supuestos!$B$19)</f>
        <v>4</v>
      </c>
      <c r="M16" s="6" t="n">
        <f aca="false">K16+L16</f>
        <v>274</v>
      </c>
      <c r="N16" s="33" t="n">
        <v>0.3994</v>
      </c>
      <c r="O16" s="22" t="n">
        <v>34765</v>
      </c>
      <c r="P16" s="6" t="n">
        <f aca="false">SUMIF(BOM_V56!$B:$B,B16,BOM_V56!$M:$M)+SUMIF(BOM_V57!$B:$B,B16,BOM_V57!$M:$M)+SUMIF(BOM_v6!$B:$B,B16,BOM_v6!$M:$M)</f>
        <v>1136</v>
      </c>
      <c r="Q16" s="2" t="str">
        <f aca="false">IF(P16&gt;O16,"SÍ","")</f>
        <v/>
      </c>
      <c r="R16" s="38" t="n">
        <f aca="false">N16*(1+IF(Q16="SÍ",Supuestos!$B$14,0))</f>
        <v>0.3994</v>
      </c>
      <c r="S16" s="10" t="n">
        <f aca="false">M16*R16</f>
        <v>109.4356</v>
      </c>
      <c r="T16" s="2"/>
      <c r="U16" s="2" t="s">
        <v>260</v>
      </c>
    </row>
    <row r="17" customFormat="false" ht="15" hidden="false" customHeight="false" outlineLevel="0" collapsed="false">
      <c r="A17" s="2" t="s">
        <v>261</v>
      </c>
      <c r="B17" s="2" t="s">
        <v>262</v>
      </c>
      <c r="C17" s="2" t="s">
        <v>263</v>
      </c>
      <c r="D17" s="2" t="s">
        <v>264</v>
      </c>
      <c r="E17" s="2" t="s">
        <v>237</v>
      </c>
      <c r="F17" s="2" t="s">
        <v>238</v>
      </c>
      <c r="G17" s="2" t="n">
        <v>0</v>
      </c>
      <c r="H17" s="2" t="n">
        <v>2</v>
      </c>
      <c r="I17" s="2" t="n">
        <v>0</v>
      </c>
      <c r="J17" s="35" t="n">
        <v>5</v>
      </c>
      <c r="K17" s="6" t="n">
        <f aca="false">J17*Supuestos!B$5</f>
        <v>675</v>
      </c>
      <c r="L17" s="6" t="n">
        <f aca="false">IF(OR(U17="Resistors",U17="Capacitors"),ROUNDUP(K17*Supuestos!$B$16,0)+Supuestos!$B$17,ROUNDUP(K17*Supuestos!$B$18,0)+Supuestos!$B$19)</f>
        <v>19</v>
      </c>
      <c r="M17" s="6" t="n">
        <f aca="false">K17+L17</f>
        <v>694</v>
      </c>
      <c r="N17" s="33" t="n">
        <v>0.1416</v>
      </c>
      <c r="O17" s="22" t="n">
        <v>1342998</v>
      </c>
      <c r="P17" s="6" t="n">
        <f aca="false">SUMIF(BOM_V56!$B:$B,B17,BOM_V56!$M:$M)+SUMIF(BOM_V57!$B:$B,B17,BOM_V57!$M:$M)+SUMIF(BOM_v6!$B:$B,B17,BOM_v6!$M:$M)</f>
        <v>3117</v>
      </c>
      <c r="Q17" s="2" t="str">
        <f aca="false">IF(P17&gt;O17,"SÍ","")</f>
        <v/>
      </c>
      <c r="R17" s="38" t="n">
        <f aca="false">N17*(1+IF(Q17="SÍ",Supuestos!$B$14,0))</f>
        <v>0.1416</v>
      </c>
      <c r="S17" s="10" t="n">
        <f aca="false">M17*R17</f>
        <v>98.2704</v>
      </c>
      <c r="T17" s="2"/>
      <c r="U17" s="2" t="s">
        <v>239</v>
      </c>
    </row>
    <row r="18" customFormat="false" ht="15" hidden="false" customHeight="false" outlineLevel="0" collapsed="false">
      <c r="A18" s="2" t="s">
        <v>265</v>
      </c>
      <c r="B18" s="2" t="s">
        <v>266</v>
      </c>
      <c r="C18" s="2" t="s">
        <v>267</v>
      </c>
      <c r="D18" s="2" t="s">
        <v>268</v>
      </c>
      <c r="E18" s="2" t="s">
        <v>269</v>
      </c>
      <c r="F18" s="2" t="s">
        <v>197</v>
      </c>
      <c r="G18" s="2" t="n">
        <v>1</v>
      </c>
      <c r="H18" s="2" t="n">
        <v>0</v>
      </c>
      <c r="I18" s="2" t="n">
        <v>6</v>
      </c>
      <c r="J18" s="35" t="n">
        <v>1</v>
      </c>
      <c r="K18" s="6" t="n">
        <f aca="false">J18*Supuestos!B$5</f>
        <v>135</v>
      </c>
      <c r="L18" s="6" t="n">
        <f aca="false">IF(OR(U18="Resistors",U18="Capacitors"),ROUNDUP(K18*Supuestos!$B$16,0)+Supuestos!$B$17,ROUNDUP(K18*Supuestos!$B$18,0)+Supuestos!$B$19)</f>
        <v>3</v>
      </c>
      <c r="M18" s="6" t="n">
        <f aca="false">K18+L18</f>
        <v>138</v>
      </c>
      <c r="N18" s="33" t="n">
        <v>0.7006</v>
      </c>
      <c r="O18" s="22" t="n">
        <v>7521</v>
      </c>
      <c r="P18" s="6" t="n">
        <f aca="false">SUMIF(BOM_V56!$B:$B,B18,BOM_V56!$M:$M)+SUMIF(BOM_V57!$B:$B,B18,BOM_V57!$M:$M)+SUMIF(BOM_v6!$B:$B,B18,BOM_v6!$M:$M)</f>
        <v>508</v>
      </c>
      <c r="Q18" s="2" t="str">
        <f aca="false">IF(P18&gt;O18,"SÍ","")</f>
        <v/>
      </c>
      <c r="R18" s="38" t="n">
        <f aca="false">N18*(1+IF(Q18="SÍ",Supuestos!$B$14,0))</f>
        <v>0.7006</v>
      </c>
      <c r="S18" s="10" t="n">
        <f aca="false">M18*R18</f>
        <v>96.6828</v>
      </c>
      <c r="T18" s="2"/>
      <c r="U18" s="2" t="s">
        <v>270</v>
      </c>
    </row>
    <row r="19" customFormat="false" ht="15" hidden="false" customHeight="false" outlineLevel="0" collapsed="false">
      <c r="A19" s="2" t="s">
        <v>271</v>
      </c>
      <c r="B19" s="2" t="s">
        <v>272</v>
      </c>
      <c r="C19" s="2" t="s">
        <v>273</v>
      </c>
      <c r="D19" s="2" t="s">
        <v>274</v>
      </c>
      <c r="E19" s="2" t="s">
        <v>275</v>
      </c>
      <c r="F19" s="2" t="s">
        <v>197</v>
      </c>
      <c r="G19" s="2" t="n">
        <v>0</v>
      </c>
      <c r="H19" s="2" t="n">
        <v>2</v>
      </c>
      <c r="I19" s="2" t="n">
        <v>0</v>
      </c>
      <c r="J19" s="35" t="n">
        <v>3</v>
      </c>
      <c r="K19" s="6" t="n">
        <f aca="false">J19*Supuestos!B$5</f>
        <v>405</v>
      </c>
      <c r="L19" s="6" t="n">
        <f aca="false">IF(OR(U19="Resistors",U19="Capacitors"),ROUNDUP(K19*Supuestos!$B$16,0)+Supuestos!$B$17,ROUNDUP(K19*Supuestos!$B$18,0)+Supuestos!$B$19)</f>
        <v>14</v>
      </c>
      <c r="M19" s="6" t="n">
        <f aca="false">K19+L19</f>
        <v>419</v>
      </c>
      <c r="N19" s="33" t="n">
        <v>0.168</v>
      </c>
      <c r="O19" s="22" t="n">
        <v>97221</v>
      </c>
      <c r="P19" s="6" t="n">
        <f aca="false">SUMIF(BOM_V56!$B:$B,B19,BOM_V56!$M:$M)+SUMIF(BOM_V57!$B:$B,B19,BOM_V57!$M:$M)+SUMIF(BOM_v6!$B:$B,B19,BOM_v6!$M:$M)</f>
        <v>1791</v>
      </c>
      <c r="Q19" s="2" t="str">
        <f aca="false">IF(P19&gt;O19,"SÍ","")</f>
        <v/>
      </c>
      <c r="R19" s="38" t="n">
        <f aca="false">N19*(1+IF(Q19="SÍ",Supuestos!$B$14,0))</f>
        <v>0.168</v>
      </c>
      <c r="S19" s="10" t="n">
        <f aca="false">M19*R19</f>
        <v>70.392</v>
      </c>
      <c r="T19" s="2"/>
      <c r="U19" s="2" t="s">
        <v>239</v>
      </c>
    </row>
    <row r="20" customFormat="false" ht="15" hidden="false" customHeight="false" outlineLevel="0" collapsed="false">
      <c r="A20" s="2" t="s">
        <v>276</v>
      </c>
      <c r="B20" s="2" t="s">
        <v>277</v>
      </c>
      <c r="C20" s="2" t="s">
        <v>278</v>
      </c>
      <c r="D20" s="2" t="s">
        <v>279</v>
      </c>
      <c r="E20" s="2" t="s">
        <v>280</v>
      </c>
      <c r="F20" s="2" t="s">
        <v>197</v>
      </c>
      <c r="G20" s="2" t="n">
        <v>0</v>
      </c>
      <c r="H20" s="2" t="n">
        <v>2</v>
      </c>
      <c r="I20" s="2" t="n">
        <v>0</v>
      </c>
      <c r="J20" s="35" t="n">
        <v>2</v>
      </c>
      <c r="K20" s="6" t="n">
        <f aca="false">J20*Supuestos!B$5</f>
        <v>270</v>
      </c>
      <c r="L20" s="6" t="n">
        <f aca="false">IF(OR(U20="Resistors",U20="Capacitors"),ROUNDUP(K20*Supuestos!$B$16,0)+Supuestos!$B$17,ROUNDUP(K20*Supuestos!$B$18,0)+Supuestos!$B$19)</f>
        <v>4</v>
      </c>
      <c r="M20" s="6" t="n">
        <f aca="false">K20+L20</f>
        <v>274</v>
      </c>
      <c r="N20" s="33" t="n">
        <v>0.2014</v>
      </c>
      <c r="O20" s="22" t="n">
        <v>4457</v>
      </c>
      <c r="P20" s="6" t="n">
        <f aca="false">SUMIF(BOM_V56!$B:$B,B20,BOM_V56!$M:$M)+SUMIF(BOM_V57!$B:$B,B20,BOM_V57!$M:$M)+SUMIF(BOM_v6!$B:$B,B20,BOM_v6!$M:$M)</f>
        <v>706</v>
      </c>
      <c r="Q20" s="2" t="str">
        <f aca="false">IF(P20&gt;O20,"SÍ","")</f>
        <v/>
      </c>
      <c r="R20" s="38" t="n">
        <f aca="false">N20*(1+IF(Q20="SÍ",Supuestos!$B$14,0))</f>
        <v>0.2014</v>
      </c>
      <c r="S20" s="10" t="n">
        <f aca="false">M20*R20</f>
        <v>55.1836</v>
      </c>
      <c r="T20" s="2"/>
      <c r="U20" s="2" t="s">
        <v>281</v>
      </c>
    </row>
    <row r="21" customFormat="false" ht="15" hidden="false" customHeight="false" outlineLevel="0" collapsed="false">
      <c r="A21" s="2" t="s">
        <v>282</v>
      </c>
      <c r="B21" s="2" t="s">
        <v>283</v>
      </c>
      <c r="C21" s="2" t="s">
        <v>284</v>
      </c>
      <c r="D21" s="2" t="s">
        <v>258</v>
      </c>
      <c r="E21" s="2" t="s">
        <v>285</v>
      </c>
      <c r="F21" s="2" t="s">
        <v>197</v>
      </c>
      <c r="G21" s="2" t="n">
        <v>0</v>
      </c>
      <c r="H21" s="2" t="n">
        <v>16</v>
      </c>
      <c r="I21" s="2" t="n">
        <v>0</v>
      </c>
      <c r="J21" s="35" t="n">
        <v>1</v>
      </c>
      <c r="K21" s="6" t="n">
        <f aca="false">J21*Supuestos!B$5</f>
        <v>135</v>
      </c>
      <c r="L21" s="6" t="n">
        <f aca="false">IF(OR(U21="Resistors",U21="Capacitors"),ROUNDUP(K21*Supuestos!$B$16,0)+Supuestos!$B$17,ROUNDUP(K21*Supuestos!$B$18,0)+Supuestos!$B$19)</f>
        <v>3</v>
      </c>
      <c r="M21" s="6" t="n">
        <f aca="false">K21+L21</f>
        <v>138</v>
      </c>
      <c r="N21" s="33" t="n">
        <v>0.3421</v>
      </c>
      <c r="O21" s="22" t="n">
        <v>3691</v>
      </c>
      <c r="P21" s="6" t="n">
        <f aca="false">SUMIF(BOM_V56!$B:$B,B21,BOM_V56!$M:$M)+SUMIF(BOM_V57!$B:$B,B21,BOM_V57!$M:$M)+SUMIF(BOM_v6!$B:$B,B21,BOM_v6!$M:$M)</f>
        <v>570</v>
      </c>
      <c r="Q21" s="2" t="str">
        <f aca="false">IF(P21&gt;O21,"SÍ","")</f>
        <v/>
      </c>
      <c r="R21" s="38" t="n">
        <f aca="false">N21*(1+IF(Q21="SÍ",Supuestos!$B$14,0))</f>
        <v>0.3421</v>
      </c>
      <c r="S21" s="10" t="n">
        <f aca="false">M21*R21</f>
        <v>47.2098</v>
      </c>
      <c r="T21" s="2"/>
      <c r="U21" s="2" t="s">
        <v>210</v>
      </c>
    </row>
    <row r="22" customFormat="false" ht="15" hidden="false" customHeight="false" outlineLevel="0" collapsed="false">
      <c r="A22" s="2" t="s">
        <v>286</v>
      </c>
      <c r="B22" s="2" t="s">
        <v>287</v>
      </c>
      <c r="C22" s="2" t="s">
        <v>288</v>
      </c>
      <c r="D22" s="2" t="s">
        <v>289</v>
      </c>
      <c r="E22" s="2" t="s">
        <v>290</v>
      </c>
      <c r="F22" s="2" t="s">
        <v>197</v>
      </c>
      <c r="G22" s="2" t="n">
        <v>0</v>
      </c>
      <c r="H22" s="2" t="n">
        <v>8</v>
      </c>
      <c r="I22" s="2" t="n">
        <v>0</v>
      </c>
      <c r="J22" s="35" t="n">
        <v>1</v>
      </c>
      <c r="K22" s="6" t="n">
        <f aca="false">J22*Supuestos!B$5</f>
        <v>135</v>
      </c>
      <c r="L22" s="6" t="n">
        <f aca="false">IF(OR(U22="Resistors",U22="Capacitors"),ROUNDUP(K22*Supuestos!$B$16,0)+Supuestos!$B$17,ROUNDUP(K22*Supuestos!$B$18,0)+Supuestos!$B$19)</f>
        <v>3</v>
      </c>
      <c r="M22" s="6" t="n">
        <f aca="false">K22+L22</f>
        <v>138</v>
      </c>
      <c r="N22" s="33" t="n">
        <v>0.2914</v>
      </c>
      <c r="O22" s="22" t="n">
        <v>0</v>
      </c>
      <c r="P22" s="6" t="n">
        <f aca="false">SUMIF(BOM_V56!$B:$B,B22,BOM_V56!$M:$M)+SUMIF(BOM_V57!$B:$B,B22,BOM_V57!$M:$M)+SUMIF(BOM_v6!$B:$B,B22,BOM_v6!$M:$M)</f>
        <v>570</v>
      </c>
      <c r="Q22" s="2" t="str">
        <f aca="false">IF(P22&gt;O22,"SÍ","")</f>
        <v>SÍ</v>
      </c>
      <c r="R22" s="38" t="n">
        <f aca="false">N22*(1+IF(Q22="SÍ",Supuestos!$B$14,0))</f>
        <v>0.33511</v>
      </c>
      <c r="S22" s="10" t="n">
        <f aca="false">M22*R22</f>
        <v>46.24518</v>
      </c>
      <c r="T22" s="2"/>
      <c r="U22" s="2" t="s">
        <v>291</v>
      </c>
    </row>
    <row r="23" customFormat="false" ht="15" hidden="false" customHeight="false" outlineLevel="0" collapsed="false">
      <c r="A23" s="2" t="s">
        <v>292</v>
      </c>
      <c r="B23" s="2" t="s">
        <v>293</v>
      </c>
      <c r="C23" s="2" t="s">
        <v>294</v>
      </c>
      <c r="D23" s="2" t="s">
        <v>295</v>
      </c>
      <c r="E23" s="2" t="s">
        <v>296</v>
      </c>
      <c r="F23" s="2" t="s">
        <v>197</v>
      </c>
      <c r="G23" s="2" t="n">
        <v>0</v>
      </c>
      <c r="H23" s="2" t="n">
        <v>12</v>
      </c>
      <c r="I23" s="2" t="n">
        <v>0</v>
      </c>
      <c r="J23" s="35" t="n">
        <v>1</v>
      </c>
      <c r="K23" s="6" t="n">
        <f aca="false">J23*Supuestos!B$5</f>
        <v>135</v>
      </c>
      <c r="L23" s="6" t="n">
        <f aca="false">IF(OR(U23="Resistors",U23="Capacitors"),ROUNDUP(K23*Supuestos!$B$16,0)+Supuestos!$B$17,ROUNDUP(K23*Supuestos!$B$18,0)+Supuestos!$B$19)</f>
        <v>3</v>
      </c>
      <c r="M23" s="6" t="n">
        <f aca="false">K23+L23</f>
        <v>138</v>
      </c>
      <c r="N23" s="33" t="n">
        <v>0.2894</v>
      </c>
      <c r="O23" s="22" t="n">
        <v>2</v>
      </c>
      <c r="P23" s="6" t="n">
        <f aca="false">SUMIF(BOM_V56!$B:$B,B23,BOM_V56!$M:$M)+SUMIF(BOM_V57!$B:$B,B23,BOM_V57!$M:$M)+SUMIF(BOM_v6!$B:$B,B23,BOM_v6!$M:$M)</f>
        <v>570</v>
      </c>
      <c r="Q23" s="2" t="str">
        <f aca="false">IF(P23&gt;O23,"SÍ","")</f>
        <v>SÍ</v>
      </c>
      <c r="R23" s="38" t="n">
        <f aca="false">N23*(1+IF(Q23="SÍ",Supuestos!$B$14,0))</f>
        <v>0.33281</v>
      </c>
      <c r="S23" s="10" t="n">
        <f aca="false">M23*R23</f>
        <v>45.92778</v>
      </c>
      <c r="T23" s="2" t="s">
        <v>297</v>
      </c>
      <c r="U23" s="2" t="s">
        <v>260</v>
      </c>
    </row>
    <row r="24" customFormat="false" ht="15" hidden="false" customHeight="false" outlineLevel="0" collapsed="false">
      <c r="A24" s="2" t="s">
        <v>298</v>
      </c>
      <c r="B24" s="2" t="s">
        <v>299</v>
      </c>
      <c r="C24" s="2" t="s">
        <v>300</v>
      </c>
      <c r="D24" s="2" t="s">
        <v>301</v>
      </c>
      <c r="E24" s="39" t="s">
        <v>302</v>
      </c>
      <c r="F24" s="2" t="s">
        <v>197</v>
      </c>
      <c r="G24" s="2" t="n">
        <v>1</v>
      </c>
      <c r="H24" s="2" t="n">
        <v>0</v>
      </c>
      <c r="I24" s="2" t="n">
        <v>5</v>
      </c>
      <c r="J24" s="35" t="n">
        <v>1</v>
      </c>
      <c r="K24" s="6" t="n">
        <f aca="false">J24*Supuestos!B$5</f>
        <v>135</v>
      </c>
      <c r="L24" s="6" t="n">
        <f aca="false">IF(OR(U24="Resistors",U24="Capacitors"),ROUNDUP(K24*Supuestos!$B$16,0)+Supuestos!$B$17,ROUNDUP(K24*Supuestos!$B$18,0)+Supuestos!$B$19)</f>
        <v>3</v>
      </c>
      <c r="M24" s="6" t="n">
        <f aca="false">K24+L24</f>
        <v>138</v>
      </c>
      <c r="N24" s="33" t="n">
        <v>0.3225</v>
      </c>
      <c r="O24" s="22" t="n">
        <v>8013</v>
      </c>
      <c r="P24" s="6" t="n">
        <f aca="false">SUMIF(BOM_V56!$B:$B,B24,BOM_V56!$M:$M)+SUMIF(BOM_V57!$B:$B,B24,BOM_V57!$M:$M)+SUMIF(BOM_v6!$B:$B,B24,BOM_v6!$M:$M)</f>
        <v>570</v>
      </c>
      <c r="Q24" s="2" t="str">
        <f aca="false">IF(P24&gt;O24,"SÍ","")</f>
        <v/>
      </c>
      <c r="R24" s="38" t="n">
        <f aca="false">N24*(1+IF(Q24="SÍ",Supuestos!$B$14,0))</f>
        <v>0.3225</v>
      </c>
      <c r="S24" s="10" t="n">
        <f aca="false">M24*R24</f>
        <v>44.505</v>
      </c>
      <c r="T24" s="2"/>
      <c r="U24" s="2" t="s">
        <v>254</v>
      </c>
    </row>
    <row r="25" customFormat="false" ht="15" hidden="false" customHeight="false" outlineLevel="0" collapsed="false">
      <c r="A25" s="2" t="s">
        <v>303</v>
      </c>
      <c r="B25" s="2" t="s">
        <v>304</v>
      </c>
      <c r="C25" s="2" t="s">
        <v>305</v>
      </c>
      <c r="D25" s="2" t="s">
        <v>258</v>
      </c>
      <c r="E25" s="2" t="s">
        <v>306</v>
      </c>
      <c r="F25" s="2" t="s">
        <v>197</v>
      </c>
      <c r="G25" s="2" t="n">
        <v>0</v>
      </c>
      <c r="H25" s="2" t="n">
        <v>4</v>
      </c>
      <c r="I25" s="2" t="n">
        <v>0</v>
      </c>
      <c r="J25" s="35" t="n">
        <v>1</v>
      </c>
      <c r="K25" s="6" t="n">
        <f aca="false">J25*Supuestos!B$5</f>
        <v>135</v>
      </c>
      <c r="L25" s="6" t="n">
        <f aca="false">IF(OR(U25="Resistors",U25="Capacitors"),ROUNDUP(K25*Supuestos!$B$16,0)+Supuestos!$B$17,ROUNDUP(K25*Supuestos!$B$18,0)+Supuestos!$B$19)</f>
        <v>3</v>
      </c>
      <c r="M25" s="6" t="n">
        <f aca="false">K25+L25</f>
        <v>138</v>
      </c>
      <c r="N25" s="33" t="n">
        <v>0.2914</v>
      </c>
      <c r="O25" s="22" t="n">
        <v>23654</v>
      </c>
      <c r="P25" s="6" t="n">
        <f aca="false">SUMIF(BOM_V56!$B:$B,B25,BOM_V56!$M:$M)+SUMIF(BOM_V57!$B:$B,B25,BOM_V57!$M:$M)+SUMIF(BOM_v6!$B:$B,B25,BOM_v6!$M:$M)</f>
        <v>570</v>
      </c>
      <c r="Q25" s="2" t="str">
        <f aca="false">IF(P25&gt;O25,"SÍ","")</f>
        <v/>
      </c>
      <c r="R25" s="38" t="n">
        <f aca="false">N25*(1+IF(Q25="SÍ",Supuestos!$B$14,0))</f>
        <v>0.2914</v>
      </c>
      <c r="S25" s="10" t="n">
        <f aca="false">M25*R25</f>
        <v>40.2132</v>
      </c>
      <c r="T25" s="2"/>
      <c r="U25" s="2" t="s">
        <v>216</v>
      </c>
    </row>
    <row r="26" customFormat="false" ht="15" hidden="false" customHeight="false" outlineLevel="0" collapsed="false">
      <c r="A26" s="2" t="s">
        <v>307</v>
      </c>
      <c r="B26" s="2" t="s">
        <v>308</v>
      </c>
      <c r="C26" s="2" t="s">
        <v>309</v>
      </c>
      <c r="D26" s="2" t="s">
        <v>310</v>
      </c>
      <c r="E26" s="2" t="s">
        <v>311</v>
      </c>
      <c r="F26" s="2" t="s">
        <v>197</v>
      </c>
      <c r="G26" s="2" t="n">
        <v>0</v>
      </c>
      <c r="H26" s="2" t="n">
        <v>2</v>
      </c>
      <c r="I26" s="2" t="n">
        <v>0</v>
      </c>
      <c r="J26" s="35" t="n">
        <v>2</v>
      </c>
      <c r="K26" s="6" t="n">
        <f aca="false">J26*Supuestos!B$5</f>
        <v>270</v>
      </c>
      <c r="L26" s="6" t="n">
        <f aca="false">IF(OR(U26="Resistors",U26="Capacitors"),ROUNDUP(K26*Supuestos!$B$16,0)+Supuestos!$B$17,ROUNDUP(K26*Supuestos!$B$18,0)+Supuestos!$B$19)</f>
        <v>11</v>
      </c>
      <c r="M26" s="6" t="n">
        <f aca="false">K26+L26</f>
        <v>281</v>
      </c>
      <c r="N26" s="33" t="n">
        <v>0.1454</v>
      </c>
      <c r="O26" s="22" t="n">
        <v>151177</v>
      </c>
      <c r="P26" s="6" t="n">
        <f aca="false">SUMIF(BOM_V56!$B:$B,B26,BOM_V56!$M:$M)+SUMIF(BOM_V57!$B:$B,B26,BOM_V57!$M:$M)+SUMIF(BOM_v6!$B:$B,B26,BOM_v6!$M:$M)</f>
        <v>2149</v>
      </c>
      <c r="Q26" s="2" t="str">
        <f aca="false">IF(P26&gt;O26,"SÍ","")</f>
        <v/>
      </c>
      <c r="R26" s="38" t="n">
        <f aca="false">N26*(1+IF(Q26="SÍ",Supuestos!$B$14,0))</f>
        <v>0.1454</v>
      </c>
      <c r="S26" s="10" t="n">
        <f aca="false">M26*R26</f>
        <v>40.8574</v>
      </c>
      <c r="T26" s="2"/>
      <c r="U26" s="2" t="s">
        <v>239</v>
      </c>
    </row>
    <row r="27" customFormat="false" ht="15" hidden="false" customHeight="false" outlineLevel="0" collapsed="false">
      <c r="A27" s="2" t="s">
        <v>312</v>
      </c>
      <c r="B27" s="2" t="s">
        <v>313</v>
      </c>
      <c r="C27" s="2" t="s">
        <v>314</v>
      </c>
      <c r="D27" s="2" t="s">
        <v>315</v>
      </c>
      <c r="E27" s="2" t="s">
        <v>316</v>
      </c>
      <c r="F27" s="2" t="s">
        <v>238</v>
      </c>
      <c r="G27" s="2" t="n">
        <v>0</v>
      </c>
      <c r="H27" s="2" t="n">
        <v>2</v>
      </c>
      <c r="I27" s="2" t="n">
        <v>0</v>
      </c>
      <c r="J27" s="35" t="n">
        <v>27</v>
      </c>
      <c r="K27" s="6" t="n">
        <f aca="false">J27*Supuestos!B$5</f>
        <v>3645</v>
      </c>
      <c r="L27" s="6" t="n">
        <f aca="false">IF(OR(U27="Resistors",U27="Capacitors"),ROUNDUP(K27*Supuestos!$B$16,0)+Supuestos!$B$17,ROUNDUP(K27*Supuestos!$B$18,0)+Supuestos!$B$19)</f>
        <v>78</v>
      </c>
      <c r="M27" s="6" t="n">
        <f aca="false">K27+L27</f>
        <v>3723</v>
      </c>
      <c r="N27" s="33" t="n">
        <v>0.0095</v>
      </c>
      <c r="O27" s="22" t="n">
        <v>42847894</v>
      </c>
      <c r="P27" s="6" t="n">
        <f aca="false">SUMIF(BOM_V56!$B:$B,B27,BOM_V56!$M:$M)+SUMIF(BOM_V57!$B:$B,B27,BOM_V57!$M:$M)+SUMIF(BOM_v6!$B:$B,B27,BOM_v6!$M:$M)</f>
        <v>16117</v>
      </c>
      <c r="Q27" s="2" t="str">
        <f aca="false">IF(P27&gt;O27,"SÍ","")</f>
        <v/>
      </c>
      <c r="R27" s="38" t="n">
        <f aca="false">N27*(1+IF(Q27="SÍ",Supuestos!$B$14,0))</f>
        <v>0.0095</v>
      </c>
      <c r="S27" s="10" t="n">
        <f aca="false">M27*R27</f>
        <v>35.3685</v>
      </c>
      <c r="T27" s="2"/>
      <c r="U27" s="2" t="s">
        <v>239</v>
      </c>
    </row>
    <row r="28" customFormat="false" ht="15" hidden="false" customHeight="false" outlineLevel="0" collapsed="false">
      <c r="A28" s="2" t="s">
        <v>317</v>
      </c>
      <c r="B28" s="2" t="s">
        <v>318</v>
      </c>
      <c r="C28" s="2" t="s">
        <v>319</v>
      </c>
      <c r="D28" s="2" t="s">
        <v>279</v>
      </c>
      <c r="E28" s="2" t="s">
        <v>280</v>
      </c>
      <c r="F28" s="2" t="s">
        <v>197</v>
      </c>
      <c r="G28" s="2" t="n">
        <v>0</v>
      </c>
      <c r="H28" s="2" t="n">
        <v>2</v>
      </c>
      <c r="I28" s="2" t="n">
        <v>0</v>
      </c>
      <c r="J28" s="35" t="n">
        <v>1</v>
      </c>
      <c r="K28" s="6" t="n">
        <f aca="false">J28*Supuestos!B$5</f>
        <v>135</v>
      </c>
      <c r="L28" s="6" t="n">
        <f aca="false">IF(OR(U28="Resistors",U28="Capacitors"),ROUNDUP(K28*Supuestos!$B$16,0)+Supuestos!$B$17,ROUNDUP(K28*Supuestos!$B$18,0)+Supuestos!$B$19)</f>
        <v>3</v>
      </c>
      <c r="M28" s="6" t="n">
        <f aca="false">K28+L28</f>
        <v>138</v>
      </c>
      <c r="N28" s="33" t="n">
        <v>0.2215</v>
      </c>
      <c r="O28" s="22" t="n">
        <v>0</v>
      </c>
      <c r="P28" s="6" t="n">
        <f aca="false">SUMIF(BOM_V56!$B:$B,B28,BOM_V56!$M:$M)+SUMIF(BOM_V57!$B:$B,B28,BOM_V57!$M:$M)+SUMIF(BOM_v6!$B:$B,B28,BOM_v6!$M:$M)</f>
        <v>570</v>
      </c>
      <c r="Q28" s="2" t="str">
        <f aca="false">IF(P28&gt;O28,"SÍ","")</f>
        <v>SÍ</v>
      </c>
      <c r="R28" s="38" t="n">
        <f aca="false">N28*(1+IF(Q28="SÍ",Supuestos!$B$14,0))</f>
        <v>0.254725</v>
      </c>
      <c r="S28" s="10" t="n">
        <f aca="false">M28*R28</f>
        <v>35.15205</v>
      </c>
      <c r="T28" s="2"/>
      <c r="U28" s="2" t="s">
        <v>281</v>
      </c>
    </row>
    <row r="29" customFormat="false" ht="15" hidden="false" customHeight="false" outlineLevel="0" collapsed="false">
      <c r="A29" s="2" t="s">
        <v>320</v>
      </c>
      <c r="B29" s="2" t="s">
        <v>321</v>
      </c>
      <c r="C29" s="2" t="s">
        <v>322</v>
      </c>
      <c r="D29" s="2" t="s">
        <v>323</v>
      </c>
      <c r="E29" s="39" t="s">
        <v>324</v>
      </c>
      <c r="F29" s="2" t="s">
        <v>197</v>
      </c>
      <c r="G29" s="2" t="n">
        <v>1</v>
      </c>
      <c r="H29" s="2" t="n">
        <v>0</v>
      </c>
      <c r="I29" s="2" t="n">
        <v>3</v>
      </c>
      <c r="J29" s="35" t="n">
        <v>2</v>
      </c>
      <c r="K29" s="6" t="n">
        <f aca="false">J29*Supuestos!B$5</f>
        <v>270</v>
      </c>
      <c r="L29" s="6" t="n">
        <f aca="false">IF(OR(U29="Resistors",U29="Capacitors"),ROUNDUP(K29*Supuestos!$B$16,0)+Supuestos!$B$17,ROUNDUP(K29*Supuestos!$B$18,0)+Supuestos!$B$19)</f>
        <v>4</v>
      </c>
      <c r="M29" s="6" t="n">
        <f aca="false">K29+L29</f>
        <v>274</v>
      </c>
      <c r="N29" s="33" t="n">
        <v>0.1259</v>
      </c>
      <c r="O29" s="22" t="n">
        <v>3728</v>
      </c>
      <c r="P29" s="6" t="n">
        <f aca="false">SUMIF(BOM_V56!$B:$B,B29,BOM_V56!$M:$M)+SUMIF(BOM_V57!$B:$B,B29,BOM_V57!$M:$M)+SUMIF(BOM_v6!$B:$B,B29,BOM_v6!$M:$M)</f>
        <v>1136</v>
      </c>
      <c r="Q29" s="2" t="str">
        <f aca="false">IF(P29&gt;O29,"SÍ","")</f>
        <v/>
      </c>
      <c r="R29" s="38" t="n">
        <f aca="false">N29*(1+IF(Q29="SÍ",Supuestos!$B$14,0))</f>
        <v>0.1259</v>
      </c>
      <c r="S29" s="10" t="n">
        <f aca="false">M29*R29</f>
        <v>34.4966</v>
      </c>
      <c r="T29" s="2"/>
      <c r="U29" s="2" t="s">
        <v>254</v>
      </c>
    </row>
    <row r="30" customFormat="false" ht="15" hidden="false" customHeight="false" outlineLevel="0" collapsed="false">
      <c r="A30" s="2" t="s">
        <v>325</v>
      </c>
      <c r="B30" s="2" t="s">
        <v>326</v>
      </c>
      <c r="C30" s="2" t="s">
        <v>327</v>
      </c>
      <c r="D30" s="2" t="s">
        <v>279</v>
      </c>
      <c r="E30" s="2" t="s">
        <v>280</v>
      </c>
      <c r="F30" s="2" t="s">
        <v>197</v>
      </c>
      <c r="G30" s="2" t="n">
        <v>0</v>
      </c>
      <c r="H30" s="2" t="n">
        <v>2</v>
      </c>
      <c r="I30" s="2" t="n">
        <v>0</v>
      </c>
      <c r="J30" s="35" t="n">
        <v>1</v>
      </c>
      <c r="K30" s="6" t="n">
        <f aca="false">J30*Supuestos!B$5</f>
        <v>135</v>
      </c>
      <c r="L30" s="6" t="n">
        <f aca="false">IF(OR(U30="Resistors",U30="Capacitors"),ROUNDUP(K30*Supuestos!$B$16,0)+Supuestos!$B$17,ROUNDUP(K30*Supuestos!$B$18,0)+Supuestos!$B$19)</f>
        <v>3</v>
      </c>
      <c r="M30" s="6" t="n">
        <f aca="false">K30+L30</f>
        <v>138</v>
      </c>
      <c r="N30" s="33" t="n">
        <v>0.203</v>
      </c>
      <c r="O30" s="22" t="n">
        <v>171</v>
      </c>
      <c r="P30" s="6" t="n">
        <f aca="false">SUMIF(BOM_V56!$B:$B,B30,BOM_V56!$M:$M)+SUMIF(BOM_V57!$B:$B,B30,BOM_V57!$M:$M)+SUMIF(BOM_v6!$B:$B,B30,BOM_v6!$M:$M)</f>
        <v>570</v>
      </c>
      <c r="Q30" s="2" t="str">
        <f aca="false">IF(P30&gt;O30,"SÍ","")</f>
        <v>SÍ</v>
      </c>
      <c r="R30" s="38" t="n">
        <f aca="false">N30*(1+IF(Q30="SÍ",Supuestos!$B$14,0))</f>
        <v>0.23345</v>
      </c>
      <c r="S30" s="10" t="n">
        <f aca="false">M30*R30</f>
        <v>32.2161</v>
      </c>
      <c r="T30" s="2"/>
      <c r="U30" s="2" t="s">
        <v>281</v>
      </c>
    </row>
    <row r="31" customFormat="false" ht="15" hidden="false" customHeight="false" outlineLevel="0" collapsed="false">
      <c r="A31" s="2" t="s">
        <v>328</v>
      </c>
      <c r="B31" s="2" t="s">
        <v>329</v>
      </c>
      <c r="C31" s="2" t="s">
        <v>330</v>
      </c>
      <c r="D31" s="2" t="s">
        <v>331</v>
      </c>
      <c r="E31" s="2" t="s">
        <v>332</v>
      </c>
      <c r="F31" s="2" t="s">
        <v>197</v>
      </c>
      <c r="G31" s="2" t="n">
        <v>0</v>
      </c>
      <c r="H31" s="2" t="n">
        <v>2</v>
      </c>
      <c r="I31" s="2" t="n">
        <v>0</v>
      </c>
      <c r="J31" s="35" t="n">
        <v>1</v>
      </c>
      <c r="K31" s="6" t="n">
        <f aca="false">J31*Supuestos!B$5</f>
        <v>135</v>
      </c>
      <c r="L31" s="6" t="n">
        <f aca="false">IF(OR(U31="Resistors",U31="Capacitors"),ROUNDUP(K31*Supuestos!$B$16,0)+Supuestos!$B$17,ROUNDUP(K31*Supuestos!$B$18,0)+Supuestos!$B$19)</f>
        <v>3</v>
      </c>
      <c r="M31" s="6" t="n">
        <f aca="false">K31+L31</f>
        <v>138</v>
      </c>
      <c r="N31" s="33" t="n">
        <v>0.2318</v>
      </c>
      <c r="O31" s="22" t="n">
        <v>2457</v>
      </c>
      <c r="P31" s="6" t="n">
        <f aca="false">SUMIF(BOM_V56!$B:$B,B31,BOM_V56!$M:$M)+SUMIF(BOM_V57!$B:$B,B31,BOM_V57!$M:$M)+SUMIF(BOM_v6!$B:$B,B31,BOM_v6!$M:$M)</f>
        <v>508</v>
      </c>
      <c r="Q31" s="2" t="str">
        <f aca="false">IF(P31&gt;O31,"SÍ","")</f>
        <v/>
      </c>
      <c r="R31" s="38" t="n">
        <f aca="false">N31*(1+IF(Q31="SÍ",Supuestos!$B$14,0))</f>
        <v>0.2318</v>
      </c>
      <c r="S31" s="10" t="n">
        <f aca="false">M31*R31</f>
        <v>31.9884</v>
      </c>
      <c r="T31" s="2"/>
      <c r="U31" s="2" t="s">
        <v>333</v>
      </c>
    </row>
    <row r="32" customFormat="false" ht="15" hidden="false" customHeight="false" outlineLevel="0" collapsed="false">
      <c r="A32" s="2" t="s">
        <v>334</v>
      </c>
      <c r="B32" s="2" t="s">
        <v>335</v>
      </c>
      <c r="C32" s="2" t="s">
        <v>336</v>
      </c>
      <c r="D32" s="2" t="s">
        <v>337</v>
      </c>
      <c r="E32" s="2" t="s">
        <v>338</v>
      </c>
      <c r="F32" s="2" t="s">
        <v>197</v>
      </c>
      <c r="G32" s="2" t="n">
        <v>0</v>
      </c>
      <c r="H32" s="2" t="n">
        <v>3</v>
      </c>
      <c r="I32" s="2" t="n">
        <v>0</v>
      </c>
      <c r="J32" s="35" t="n">
        <v>1</v>
      </c>
      <c r="K32" s="6" t="n">
        <f aca="false">J32*Supuestos!B$5</f>
        <v>135</v>
      </c>
      <c r="L32" s="6" t="n">
        <f aca="false">IF(OR(U32="Resistors",U32="Capacitors"),ROUNDUP(K32*Supuestos!$B$16,0)+Supuestos!$B$17,ROUNDUP(K32*Supuestos!$B$18,0)+Supuestos!$B$19)</f>
        <v>3</v>
      </c>
      <c r="M32" s="6" t="n">
        <f aca="false">K32+L32</f>
        <v>138</v>
      </c>
      <c r="N32" s="33" t="n">
        <v>0.2243</v>
      </c>
      <c r="O32" s="22" t="n">
        <v>20437</v>
      </c>
      <c r="P32" s="6" t="n">
        <f aca="false">SUMIF(BOM_V56!$B:$B,B32,BOM_V56!$M:$M)+SUMIF(BOM_V57!$B:$B,B32,BOM_V57!$M:$M)+SUMIF(BOM_v6!$B:$B,B32,BOM_v6!$M:$M)</f>
        <v>570</v>
      </c>
      <c r="Q32" s="2" t="str">
        <f aca="false">IF(P32&gt;O32,"SÍ","")</f>
        <v/>
      </c>
      <c r="R32" s="38" t="n">
        <f aca="false">N32*(1+IF(Q32="SÍ",Supuestos!$B$14,0))</f>
        <v>0.2243</v>
      </c>
      <c r="S32" s="10" t="n">
        <f aca="false">M32*R32</f>
        <v>30.9534</v>
      </c>
      <c r="T32" s="2"/>
      <c r="U32" s="2" t="s">
        <v>291</v>
      </c>
    </row>
    <row r="33" customFormat="false" ht="15" hidden="false" customHeight="false" outlineLevel="0" collapsed="false">
      <c r="A33" s="2" t="s">
        <v>339</v>
      </c>
      <c r="B33" s="2" t="s">
        <v>340</v>
      </c>
      <c r="C33" s="2" t="s">
        <v>341</v>
      </c>
      <c r="D33" s="2" t="s">
        <v>236</v>
      </c>
      <c r="E33" s="2" t="s">
        <v>311</v>
      </c>
      <c r="F33" s="2" t="s">
        <v>197</v>
      </c>
      <c r="G33" s="2" t="n">
        <v>0</v>
      </c>
      <c r="H33" s="2" t="n">
        <v>2</v>
      </c>
      <c r="I33" s="2" t="n">
        <v>0</v>
      </c>
      <c r="J33" s="35" t="n">
        <v>1</v>
      </c>
      <c r="K33" s="6" t="n">
        <f aca="false">J33*Supuestos!B$5</f>
        <v>135</v>
      </c>
      <c r="L33" s="6" t="n">
        <f aca="false">IF(OR(U33="Resistors",U33="Capacitors"),ROUNDUP(K33*Supuestos!$B$16,0)+Supuestos!$B$17,ROUNDUP(K33*Supuestos!$B$18,0)+Supuestos!$B$19)</f>
        <v>8</v>
      </c>
      <c r="M33" s="6" t="n">
        <f aca="false">K33+L33</f>
        <v>143</v>
      </c>
      <c r="N33" s="33" t="n">
        <v>0.1994</v>
      </c>
      <c r="O33" s="22" t="n">
        <v>99168</v>
      </c>
      <c r="P33" s="6" t="n">
        <f aca="false">SUMIF(BOM_V56!$B:$B,B33,BOM_V56!$M:$M)+SUMIF(BOM_V57!$B:$B,B33,BOM_V57!$M:$M)+SUMIF(BOM_v6!$B:$B,B33,BOM_v6!$M:$M)</f>
        <v>521</v>
      </c>
      <c r="Q33" s="2" t="str">
        <f aca="false">IF(P33&gt;O33,"SÍ","")</f>
        <v/>
      </c>
      <c r="R33" s="38" t="n">
        <f aca="false">N33*(1+IF(Q33="SÍ",Supuestos!$B$14,0))</f>
        <v>0.1994</v>
      </c>
      <c r="S33" s="10" t="n">
        <f aca="false">M33*R33</f>
        <v>28.5142</v>
      </c>
      <c r="T33" s="2"/>
      <c r="U33" s="2" t="s">
        <v>239</v>
      </c>
    </row>
    <row r="34" customFormat="false" ht="15" hidden="false" customHeight="false" outlineLevel="0" collapsed="false">
      <c r="A34" s="2" t="s">
        <v>342</v>
      </c>
      <c r="B34" s="2" t="s">
        <v>343</v>
      </c>
      <c r="C34" s="2" t="s">
        <v>344</v>
      </c>
      <c r="D34" s="2" t="s">
        <v>236</v>
      </c>
      <c r="E34" s="2" t="s">
        <v>345</v>
      </c>
      <c r="F34" s="2" t="s">
        <v>197</v>
      </c>
      <c r="G34" s="2" t="n">
        <v>0</v>
      </c>
      <c r="H34" s="2" t="n">
        <v>2</v>
      </c>
      <c r="I34" s="2" t="n">
        <v>0</v>
      </c>
      <c r="J34" s="35" t="n">
        <v>1</v>
      </c>
      <c r="K34" s="6" t="n">
        <f aca="false">J34*Supuestos!B$5</f>
        <v>135</v>
      </c>
      <c r="L34" s="6" t="n">
        <f aca="false">IF(OR(U34="Resistors",U34="Capacitors"),ROUNDUP(K34*Supuestos!$B$16,0)+Supuestos!$B$17,ROUNDUP(K34*Supuestos!$B$18,0)+Supuestos!$B$19)</f>
        <v>8</v>
      </c>
      <c r="M34" s="6" t="n">
        <f aca="false">K34+L34</f>
        <v>143</v>
      </c>
      <c r="N34" s="33" t="n">
        <v>0.1904</v>
      </c>
      <c r="O34" s="22" t="n">
        <v>1180199</v>
      </c>
      <c r="P34" s="6" t="n">
        <f aca="false">SUMIF(BOM_V56!$B:$B,B34,BOM_V56!$M:$M)+SUMIF(BOM_V57!$B:$B,B34,BOM_V57!$M:$M)+SUMIF(BOM_v6!$B:$B,B34,BOM_v6!$M:$M)</f>
        <v>521</v>
      </c>
      <c r="Q34" s="2" t="str">
        <f aca="false">IF(P34&gt;O34,"SÍ","")</f>
        <v/>
      </c>
      <c r="R34" s="38" t="n">
        <f aca="false">N34*(1+IF(Q34="SÍ",Supuestos!$B$14,0))</f>
        <v>0.1904</v>
      </c>
      <c r="S34" s="10" t="n">
        <f aca="false">M34*R34</f>
        <v>27.2272</v>
      </c>
      <c r="T34" s="2"/>
      <c r="U34" s="2" t="s">
        <v>239</v>
      </c>
    </row>
    <row r="35" customFormat="false" ht="15" hidden="false" customHeight="false" outlineLevel="0" collapsed="false">
      <c r="A35" s="2" t="s">
        <v>346</v>
      </c>
      <c r="B35" s="2" t="s">
        <v>347</v>
      </c>
      <c r="C35" s="2" t="s">
        <v>348</v>
      </c>
      <c r="D35" s="2" t="s">
        <v>349</v>
      </c>
      <c r="E35" s="39" t="s">
        <v>350</v>
      </c>
      <c r="F35" s="2" t="s">
        <v>197</v>
      </c>
      <c r="G35" s="2" t="n">
        <v>1</v>
      </c>
      <c r="H35" s="2" t="n">
        <v>0</v>
      </c>
      <c r="I35" s="2" t="n">
        <v>10</v>
      </c>
      <c r="J35" s="35" t="n">
        <v>2</v>
      </c>
      <c r="K35" s="6" t="n">
        <f aca="false">J35*Supuestos!B$5</f>
        <v>270</v>
      </c>
      <c r="L35" s="6" t="n">
        <f aca="false">IF(OR(U35="Resistors",U35="Capacitors"),ROUNDUP(K35*Supuestos!$B$16,0)+Supuestos!$B$17,ROUNDUP(K35*Supuestos!$B$18,0)+Supuestos!$B$19)</f>
        <v>4</v>
      </c>
      <c r="M35" s="6" t="n">
        <f aca="false">K35+L35</f>
        <v>274</v>
      </c>
      <c r="N35" s="33" t="n">
        <v>0.0943</v>
      </c>
      <c r="O35" s="22" t="n">
        <v>17205</v>
      </c>
      <c r="P35" s="6" t="n">
        <f aca="false">SUMIF(BOM_V56!$B:$B,B35,BOM_V56!$M:$M)+SUMIF(BOM_V57!$B:$B,B35,BOM_V57!$M:$M)+SUMIF(BOM_v6!$B:$B,B35,BOM_v6!$M:$M)</f>
        <v>1013</v>
      </c>
      <c r="Q35" s="2" t="str">
        <f aca="false">IF(P35&gt;O35,"SÍ","")</f>
        <v/>
      </c>
      <c r="R35" s="38" t="n">
        <f aca="false">N35*(1+IF(Q35="SÍ",Supuestos!$B$14,0))</f>
        <v>0.0943</v>
      </c>
      <c r="S35" s="10" t="n">
        <f aca="false">M35*R35</f>
        <v>25.8382</v>
      </c>
      <c r="T35" s="2"/>
      <c r="U35" s="2" t="s">
        <v>254</v>
      </c>
    </row>
    <row r="36" customFormat="false" ht="15" hidden="false" customHeight="false" outlineLevel="0" collapsed="false">
      <c r="A36" s="2" t="s">
        <v>351</v>
      </c>
      <c r="B36" s="2" t="s">
        <v>352</v>
      </c>
      <c r="C36" s="2" t="s">
        <v>353</v>
      </c>
      <c r="D36" s="2" t="s">
        <v>354</v>
      </c>
      <c r="E36" s="2" t="s">
        <v>290</v>
      </c>
      <c r="F36" s="2" t="s">
        <v>238</v>
      </c>
      <c r="G36" s="2" t="n">
        <v>0</v>
      </c>
      <c r="H36" s="2" t="n">
        <v>8</v>
      </c>
      <c r="I36" s="2" t="n">
        <v>0</v>
      </c>
      <c r="J36" s="35" t="n">
        <v>1</v>
      </c>
      <c r="K36" s="6" t="n">
        <f aca="false">J36*Supuestos!B$5</f>
        <v>135</v>
      </c>
      <c r="L36" s="6" t="n">
        <f aca="false">IF(OR(U36="Resistors",U36="Capacitors"),ROUNDUP(K36*Supuestos!$B$16,0)+Supuestos!$B$17,ROUNDUP(K36*Supuestos!$B$18,0)+Supuestos!$B$19)</f>
        <v>3</v>
      </c>
      <c r="M36" s="6" t="n">
        <f aca="false">K36+L36</f>
        <v>138</v>
      </c>
      <c r="N36" s="33" t="n">
        <v>0.1762</v>
      </c>
      <c r="O36" s="22" t="n">
        <v>373194</v>
      </c>
      <c r="P36" s="6" t="n">
        <f aca="false">SUMIF(BOM_V56!$B:$B,B36,BOM_V56!$M:$M)+SUMIF(BOM_V57!$B:$B,B36,BOM_V57!$M:$M)+SUMIF(BOM_v6!$B:$B,B36,BOM_v6!$M:$M)</f>
        <v>508</v>
      </c>
      <c r="Q36" s="2" t="str">
        <f aca="false">IF(P36&gt;O36,"SÍ","")</f>
        <v/>
      </c>
      <c r="R36" s="38" t="n">
        <f aca="false">N36*(1+IF(Q36="SÍ",Supuestos!$B$14,0))</f>
        <v>0.1762</v>
      </c>
      <c r="S36" s="10" t="n">
        <f aca="false">M36*R36</f>
        <v>24.3156</v>
      </c>
      <c r="T36" s="2"/>
      <c r="U36" s="2" t="s">
        <v>210</v>
      </c>
    </row>
    <row r="37" customFormat="false" ht="15" hidden="false" customHeight="false" outlineLevel="0" collapsed="false">
      <c r="A37" s="2" t="s">
        <v>355</v>
      </c>
      <c r="B37" s="2" t="s">
        <v>356</v>
      </c>
      <c r="C37" s="2" t="s">
        <v>357</v>
      </c>
      <c r="D37" s="2" t="s">
        <v>358</v>
      </c>
      <c r="E37" s="39" t="s">
        <v>359</v>
      </c>
      <c r="F37" s="2" t="s">
        <v>197</v>
      </c>
      <c r="G37" s="2" t="n">
        <v>1</v>
      </c>
      <c r="H37" s="2" t="n">
        <v>0</v>
      </c>
      <c r="I37" s="2" t="n">
        <v>2</v>
      </c>
      <c r="J37" s="35" t="n">
        <v>5</v>
      </c>
      <c r="K37" s="6" t="n">
        <f aca="false">J37*Supuestos!B$5</f>
        <v>675</v>
      </c>
      <c r="L37" s="6" t="n">
        <f aca="false">IF(OR(U37="Resistors",U37="Capacitors"),ROUNDUP(K37*Supuestos!$B$16,0)+Supuestos!$B$17,ROUNDUP(K37*Supuestos!$B$18,0)+Supuestos!$B$19)</f>
        <v>8</v>
      </c>
      <c r="M37" s="6" t="n">
        <f aca="false">K37+L37</f>
        <v>683</v>
      </c>
      <c r="N37" s="33" t="n">
        <v>0.0321</v>
      </c>
      <c r="O37" s="22" t="n">
        <v>419147</v>
      </c>
      <c r="P37" s="6" t="n">
        <f aca="false">SUMIF(BOM_V56!$B:$B,B37,BOM_V56!$M:$M)+SUMIF(BOM_V57!$B:$B,B37,BOM_V57!$M:$M)+SUMIF(BOM_v6!$B:$B,B37,BOM_v6!$M:$M)</f>
        <v>2585</v>
      </c>
      <c r="Q37" s="2" t="str">
        <f aca="false">IF(P37&gt;O37,"SÍ","")</f>
        <v/>
      </c>
      <c r="R37" s="38" t="n">
        <f aca="false">N37*(1+IF(Q37="SÍ",Supuestos!$B$14,0))</f>
        <v>0.0321</v>
      </c>
      <c r="S37" s="10" t="n">
        <f aca="false">M37*R37</f>
        <v>21.9243</v>
      </c>
      <c r="T37" s="2"/>
      <c r="U37" s="2" t="s">
        <v>254</v>
      </c>
    </row>
    <row r="38" customFormat="false" ht="15" hidden="false" customHeight="false" outlineLevel="0" collapsed="false">
      <c r="A38" s="2" t="s">
        <v>360</v>
      </c>
      <c r="B38" s="2" t="s">
        <v>361</v>
      </c>
      <c r="C38" s="2" t="s">
        <v>362</v>
      </c>
      <c r="D38" s="2" t="s">
        <v>363</v>
      </c>
      <c r="E38" s="2" t="s">
        <v>364</v>
      </c>
      <c r="F38" s="2" t="s">
        <v>197</v>
      </c>
      <c r="G38" s="2" t="n">
        <v>0</v>
      </c>
      <c r="H38" s="2" t="n">
        <v>2</v>
      </c>
      <c r="I38" s="2" t="n">
        <v>0</v>
      </c>
      <c r="J38" s="35" t="n">
        <v>2</v>
      </c>
      <c r="K38" s="6" t="n">
        <f aca="false">J38*Supuestos!B$5</f>
        <v>270</v>
      </c>
      <c r="L38" s="6" t="n">
        <f aca="false">IF(OR(U38="Resistors",U38="Capacitors"),ROUNDUP(K38*Supuestos!$B$16,0)+Supuestos!$B$17,ROUNDUP(K38*Supuestos!$B$18,0)+Supuestos!$B$19)</f>
        <v>4</v>
      </c>
      <c r="M38" s="6" t="n">
        <f aca="false">K38+L38</f>
        <v>274</v>
      </c>
      <c r="N38" s="33" t="n">
        <v>0.0706</v>
      </c>
      <c r="O38" s="22" t="n">
        <v>29426</v>
      </c>
      <c r="P38" s="6" t="n">
        <f aca="false">SUMIF(BOM_V56!$B:$B,B38,BOM_V56!$M:$M)+SUMIF(BOM_V57!$B:$B,B38,BOM_V57!$M:$M)+SUMIF(BOM_v6!$B:$B,B38,BOM_v6!$M:$M)</f>
        <v>1075</v>
      </c>
      <c r="Q38" s="2" t="str">
        <f aca="false">IF(P38&gt;O38,"SÍ","")</f>
        <v/>
      </c>
      <c r="R38" s="38" t="n">
        <f aca="false">N38*(1+IF(Q38="SÍ",Supuestos!$B$14,0))</f>
        <v>0.0706</v>
      </c>
      <c r="S38" s="10" t="n">
        <f aca="false">M38*R38</f>
        <v>19.3444</v>
      </c>
      <c r="T38" s="2"/>
      <c r="U38" s="2" t="s">
        <v>365</v>
      </c>
    </row>
    <row r="39" customFormat="false" ht="15" hidden="false" customHeight="false" outlineLevel="0" collapsed="false">
      <c r="A39" s="2" t="s">
        <v>366</v>
      </c>
      <c r="B39" s="2" t="s">
        <v>367</v>
      </c>
      <c r="C39" s="2" t="s">
        <v>368</v>
      </c>
      <c r="D39" s="2" t="s">
        <v>195</v>
      </c>
      <c r="E39" s="2" t="s">
        <v>369</v>
      </c>
      <c r="F39" s="2" t="s">
        <v>197</v>
      </c>
      <c r="G39" s="2" t="n">
        <v>0</v>
      </c>
      <c r="H39" s="2" t="n">
        <v>6</v>
      </c>
      <c r="I39" s="2" t="n">
        <v>0</v>
      </c>
      <c r="J39" s="35" t="n">
        <v>1</v>
      </c>
      <c r="K39" s="6" t="n">
        <f aca="false">J39*Supuestos!B$5</f>
        <v>135</v>
      </c>
      <c r="L39" s="6" t="n">
        <f aca="false">IF(OR(U39="Resistors",U39="Capacitors"),ROUNDUP(K39*Supuestos!$B$16,0)+Supuestos!$B$17,ROUNDUP(K39*Supuestos!$B$18,0)+Supuestos!$B$19)</f>
        <v>3</v>
      </c>
      <c r="M39" s="6" t="n">
        <f aca="false">K39+L39</f>
        <v>138</v>
      </c>
      <c r="N39" s="33" t="n">
        <v>0.1384</v>
      </c>
      <c r="O39" s="22" t="n">
        <v>36981</v>
      </c>
      <c r="P39" s="6" t="n">
        <f aca="false">SUMIF(BOM_V56!$B:$B,B39,BOM_V56!$M:$M)+SUMIF(BOM_V57!$B:$B,B39,BOM_V57!$M:$M)+SUMIF(BOM_v6!$B:$B,B39,BOM_v6!$M:$M)</f>
        <v>570</v>
      </c>
      <c r="Q39" s="2" t="str">
        <f aca="false">IF(P39&gt;O39,"SÍ","")</f>
        <v/>
      </c>
      <c r="R39" s="38" t="n">
        <f aca="false">N39*(1+IF(Q39="SÍ",Supuestos!$B$14,0))</f>
        <v>0.1384</v>
      </c>
      <c r="S39" s="10" t="n">
        <f aca="false">M39*R39</f>
        <v>19.0992</v>
      </c>
      <c r="T39" s="2"/>
      <c r="U39" s="2" t="s">
        <v>370</v>
      </c>
    </row>
    <row r="40" customFormat="false" ht="15" hidden="false" customHeight="false" outlineLevel="0" collapsed="false">
      <c r="A40" s="2" t="s">
        <v>371</v>
      </c>
      <c r="B40" s="2" t="s">
        <v>372</v>
      </c>
      <c r="C40" s="2" t="s">
        <v>373</v>
      </c>
      <c r="D40" s="2" t="s">
        <v>374</v>
      </c>
      <c r="E40" s="2" t="s">
        <v>375</v>
      </c>
      <c r="F40" s="2" t="s">
        <v>238</v>
      </c>
      <c r="G40" s="2" t="n">
        <v>0</v>
      </c>
      <c r="H40" s="2" t="n">
        <v>2</v>
      </c>
      <c r="I40" s="2" t="n">
        <v>0</v>
      </c>
      <c r="J40" s="35" t="n">
        <v>1</v>
      </c>
      <c r="K40" s="6" t="n">
        <f aca="false">J40*Supuestos!B$5</f>
        <v>135</v>
      </c>
      <c r="L40" s="6" t="n">
        <f aca="false">IF(OR(U40="Resistors",U40="Capacitors"),ROUNDUP(K40*Supuestos!$B$16,0)+Supuestos!$B$17,ROUNDUP(K40*Supuestos!$B$18,0)+Supuestos!$B$19)</f>
        <v>3</v>
      </c>
      <c r="M40" s="6" t="n">
        <f aca="false">K40+L40</f>
        <v>138</v>
      </c>
      <c r="N40" s="33" t="n">
        <v>0.1348</v>
      </c>
      <c r="O40" s="22" t="n">
        <v>489732</v>
      </c>
      <c r="P40" s="6" t="n">
        <f aca="false">SUMIF(BOM_V56!$B:$B,B40,BOM_V56!$M:$M)+SUMIF(BOM_V57!$B:$B,B40,BOM_V57!$M:$M)+SUMIF(BOM_v6!$B:$B,B40,BOM_v6!$M:$M)</f>
        <v>508</v>
      </c>
      <c r="Q40" s="2" t="str">
        <f aca="false">IF(P40&gt;O40,"SÍ","")</f>
        <v/>
      </c>
      <c r="R40" s="38" t="n">
        <f aca="false">N40*(1+IF(Q40="SÍ",Supuestos!$B$14,0))</f>
        <v>0.1348</v>
      </c>
      <c r="S40" s="10" t="n">
        <f aca="false">M40*R40</f>
        <v>18.6024</v>
      </c>
      <c r="T40" s="2"/>
      <c r="U40" s="2" t="s">
        <v>365</v>
      </c>
    </row>
    <row r="41" customFormat="false" ht="15" hidden="false" customHeight="false" outlineLevel="0" collapsed="false">
      <c r="A41" s="2" t="s">
        <v>376</v>
      </c>
      <c r="B41" s="2" t="s">
        <v>377</v>
      </c>
      <c r="C41" s="2" t="s">
        <v>378</v>
      </c>
      <c r="D41" s="2" t="s">
        <v>289</v>
      </c>
      <c r="E41" s="2" t="s">
        <v>379</v>
      </c>
      <c r="F41" s="2" t="s">
        <v>238</v>
      </c>
      <c r="G41" s="2" t="n">
        <v>0</v>
      </c>
      <c r="H41" s="2" t="n">
        <v>3</v>
      </c>
      <c r="I41" s="2" t="n">
        <v>0</v>
      </c>
      <c r="J41" s="35" t="n">
        <v>2</v>
      </c>
      <c r="K41" s="6" t="n">
        <f aca="false">J41*Supuestos!B$5</f>
        <v>270</v>
      </c>
      <c r="L41" s="6" t="n">
        <f aca="false">IF(OR(U41="Resistors",U41="Capacitors"),ROUNDUP(K41*Supuestos!$B$16,0)+Supuestos!$B$17,ROUNDUP(K41*Supuestos!$B$18,0)+Supuestos!$B$19)</f>
        <v>4</v>
      </c>
      <c r="M41" s="6" t="n">
        <f aca="false">K41+L41</f>
        <v>274</v>
      </c>
      <c r="N41" s="33" t="n">
        <v>0.0629</v>
      </c>
      <c r="O41" s="22" t="n">
        <v>1218439</v>
      </c>
      <c r="P41" s="6" t="n">
        <f aca="false">SUMIF(BOM_V56!$B:$B,B41,BOM_V56!$M:$M)+SUMIF(BOM_V57!$B:$B,B41,BOM_V57!$M:$M)+SUMIF(BOM_v6!$B:$B,B41,BOM_v6!$M:$M)</f>
        <v>1136</v>
      </c>
      <c r="Q41" s="2" t="str">
        <f aca="false">IF(P41&gt;O41,"SÍ","")</f>
        <v/>
      </c>
      <c r="R41" s="38" t="n">
        <f aca="false">N41*(1+IF(Q41="SÍ",Supuestos!$B$14,0))</f>
        <v>0.0629</v>
      </c>
      <c r="S41" s="10" t="n">
        <f aca="false">M41*R41</f>
        <v>17.2346</v>
      </c>
      <c r="T41" s="2"/>
      <c r="U41" s="2" t="s">
        <v>291</v>
      </c>
    </row>
    <row r="42" customFormat="false" ht="15" hidden="false" customHeight="false" outlineLevel="0" collapsed="false">
      <c r="A42" s="2" t="s">
        <v>380</v>
      </c>
      <c r="B42" s="2" t="s">
        <v>381</v>
      </c>
      <c r="C42" s="2" t="s">
        <v>382</v>
      </c>
      <c r="D42" s="2" t="s">
        <v>383</v>
      </c>
      <c r="E42" s="2" t="s">
        <v>384</v>
      </c>
      <c r="F42" s="2" t="s">
        <v>238</v>
      </c>
      <c r="G42" s="2" t="n">
        <v>0</v>
      </c>
      <c r="H42" s="2" t="n">
        <v>2</v>
      </c>
      <c r="I42" s="2" t="n">
        <v>0</v>
      </c>
      <c r="J42" s="35" t="n">
        <v>5</v>
      </c>
      <c r="K42" s="6" t="n">
        <f aca="false">J42*Supuestos!B$5</f>
        <v>675</v>
      </c>
      <c r="L42" s="6" t="n">
        <f aca="false">IF(OR(U42="Resistors",U42="Capacitors"),ROUNDUP(K42*Supuestos!$B$16,0)+Supuestos!$B$17,ROUNDUP(K42*Supuestos!$B$18,0)+Supuestos!$B$19)</f>
        <v>8</v>
      </c>
      <c r="M42" s="6" t="n">
        <f aca="false">K42+L42</f>
        <v>683</v>
      </c>
      <c r="N42" s="33" t="n">
        <v>0.0251</v>
      </c>
      <c r="O42" s="22" t="n">
        <v>3593295</v>
      </c>
      <c r="P42" s="6" t="n">
        <f aca="false">SUMIF(BOM_V56!$B:$B,B42,BOM_V56!$M:$M)+SUMIF(BOM_V57!$B:$B,B42,BOM_V57!$M:$M)+SUMIF(BOM_v6!$B:$B,B42,BOM_v6!$M:$M)</f>
        <v>2403</v>
      </c>
      <c r="Q42" s="2" t="str">
        <f aca="false">IF(P42&gt;O42,"SÍ","")</f>
        <v/>
      </c>
      <c r="R42" s="38" t="n">
        <f aca="false">N42*(1+IF(Q42="SÍ",Supuestos!$B$14,0))</f>
        <v>0.0251</v>
      </c>
      <c r="S42" s="10" t="n">
        <f aca="false">M42*R42</f>
        <v>17.1433</v>
      </c>
      <c r="T42" s="2"/>
      <c r="U42" s="2" t="s">
        <v>385</v>
      </c>
    </row>
    <row r="43" customFormat="false" ht="15" hidden="false" customHeight="false" outlineLevel="0" collapsed="false">
      <c r="A43" s="2" t="s">
        <v>386</v>
      </c>
      <c r="B43" s="2" t="s">
        <v>387</v>
      </c>
      <c r="C43" s="2" t="s">
        <v>388</v>
      </c>
      <c r="D43" s="2" t="s">
        <v>389</v>
      </c>
      <c r="E43" s="2" t="s">
        <v>390</v>
      </c>
      <c r="F43" s="2" t="s">
        <v>197</v>
      </c>
      <c r="G43" s="2" t="n">
        <v>0</v>
      </c>
      <c r="H43" s="2" t="n">
        <v>2</v>
      </c>
      <c r="I43" s="2" t="n">
        <v>0</v>
      </c>
      <c r="J43" s="35" t="n">
        <v>1</v>
      </c>
      <c r="K43" s="6" t="n">
        <f aca="false">J43*Supuestos!B$5</f>
        <v>135</v>
      </c>
      <c r="L43" s="6" t="n">
        <f aca="false">IF(OR(U43="Resistors",U43="Capacitors"),ROUNDUP(K43*Supuestos!$B$16,0)+Supuestos!$B$17,ROUNDUP(K43*Supuestos!$B$18,0)+Supuestos!$B$19)</f>
        <v>3</v>
      </c>
      <c r="M43" s="6" t="n">
        <f aca="false">K43+L43</f>
        <v>138</v>
      </c>
      <c r="N43" s="33" t="n">
        <v>0.1213</v>
      </c>
      <c r="O43" s="22" t="n">
        <v>36381</v>
      </c>
      <c r="P43" s="6" t="n">
        <f aca="false">SUMIF(BOM_V56!$B:$B,B43,BOM_V56!$M:$M)+SUMIF(BOM_V57!$B:$B,B43,BOM_V57!$M:$M)+SUMIF(BOM_v6!$B:$B,B43,BOM_v6!$M:$M)</f>
        <v>508</v>
      </c>
      <c r="Q43" s="2" t="str">
        <f aca="false">IF(P43&gt;O43,"SÍ","")</f>
        <v/>
      </c>
      <c r="R43" s="38" t="n">
        <f aca="false">N43*(1+IF(Q43="SÍ",Supuestos!$B$14,0))</f>
        <v>0.1213</v>
      </c>
      <c r="S43" s="10" t="n">
        <f aca="false">M43*R43</f>
        <v>16.7394</v>
      </c>
      <c r="T43" s="2"/>
      <c r="U43" s="2" t="s">
        <v>370</v>
      </c>
    </row>
    <row r="44" customFormat="false" ht="15" hidden="false" customHeight="false" outlineLevel="0" collapsed="false">
      <c r="A44" s="2" t="s">
        <v>391</v>
      </c>
      <c r="B44" s="2" t="s">
        <v>392</v>
      </c>
      <c r="C44" s="2" t="s">
        <v>393</v>
      </c>
      <c r="D44" s="2" t="s">
        <v>394</v>
      </c>
      <c r="E44" s="2" t="s">
        <v>395</v>
      </c>
      <c r="F44" s="2" t="s">
        <v>197</v>
      </c>
      <c r="G44" s="2" t="n">
        <v>0</v>
      </c>
      <c r="H44" s="2" t="n">
        <v>2</v>
      </c>
      <c r="I44" s="2" t="n">
        <v>0</v>
      </c>
      <c r="J44" s="35" t="n">
        <v>1</v>
      </c>
      <c r="K44" s="6" t="n">
        <f aca="false">J44*Supuestos!B$5</f>
        <v>135</v>
      </c>
      <c r="L44" s="6" t="n">
        <f aca="false">IF(OR(U44="Resistors",U44="Capacitors"),ROUNDUP(K44*Supuestos!$B$16,0)+Supuestos!$B$17,ROUNDUP(K44*Supuestos!$B$18,0)+Supuestos!$B$19)</f>
        <v>8</v>
      </c>
      <c r="M44" s="6" t="n">
        <f aca="false">K44+L44</f>
        <v>143</v>
      </c>
      <c r="N44" s="33" t="n">
        <v>0.1045</v>
      </c>
      <c r="O44" s="22" t="n">
        <v>62</v>
      </c>
      <c r="P44" s="6" t="n">
        <f aca="false">SUMIF(BOM_V56!$B:$B,B44,BOM_V56!$M:$M)+SUMIF(BOM_V57!$B:$B,B44,BOM_V57!$M:$M)+SUMIF(BOM_v6!$B:$B,B44,BOM_v6!$M:$M)</f>
        <v>521</v>
      </c>
      <c r="Q44" s="2" t="str">
        <f aca="false">IF(P44&gt;O44,"SÍ","")</f>
        <v>SÍ</v>
      </c>
      <c r="R44" s="38" t="n">
        <f aca="false">N44*(1+IF(Q44="SÍ",Supuestos!$B$14,0))</f>
        <v>0.120175</v>
      </c>
      <c r="S44" s="10" t="n">
        <f aca="false">M44*R44</f>
        <v>17.185025</v>
      </c>
      <c r="T44" s="2"/>
      <c r="U44" s="2" t="s">
        <v>239</v>
      </c>
    </row>
    <row r="45" customFormat="false" ht="15" hidden="false" customHeight="false" outlineLevel="0" collapsed="false">
      <c r="A45" s="2" t="s">
        <v>396</v>
      </c>
      <c r="B45" s="2" t="s">
        <v>397</v>
      </c>
      <c r="C45" s="2" t="s">
        <v>398</v>
      </c>
      <c r="D45" s="2" t="s">
        <v>399</v>
      </c>
      <c r="E45" s="2" t="s">
        <v>395</v>
      </c>
      <c r="F45" s="2" t="s">
        <v>197</v>
      </c>
      <c r="G45" s="2" t="n">
        <v>0</v>
      </c>
      <c r="H45" s="2" t="n">
        <v>2</v>
      </c>
      <c r="I45" s="2" t="n">
        <v>0</v>
      </c>
      <c r="J45" s="35" t="n">
        <v>1</v>
      </c>
      <c r="K45" s="6" t="n">
        <f aca="false">J45*Supuestos!B$5</f>
        <v>135</v>
      </c>
      <c r="L45" s="6" t="n">
        <f aca="false">IF(OR(U45="Resistors",U45="Capacitors"),ROUNDUP(K45*Supuestos!$B$16,0)+Supuestos!$B$17,ROUNDUP(K45*Supuestos!$B$18,0)+Supuestos!$B$19)</f>
        <v>8</v>
      </c>
      <c r="M45" s="6" t="n">
        <f aca="false">K45+L45</f>
        <v>143</v>
      </c>
      <c r="N45" s="33" t="n">
        <v>0.111</v>
      </c>
      <c r="O45" s="22" t="n">
        <v>27792</v>
      </c>
      <c r="P45" s="6" t="n">
        <f aca="false">SUMIF(BOM_V56!$B:$B,B45,BOM_V56!$M:$M)+SUMIF(BOM_V57!$B:$B,B45,BOM_V57!$M:$M)+SUMIF(BOM_v6!$B:$B,B45,BOM_v6!$M:$M)</f>
        <v>588</v>
      </c>
      <c r="Q45" s="2" t="str">
        <f aca="false">IF(P45&gt;O45,"SÍ","")</f>
        <v/>
      </c>
      <c r="R45" s="38" t="n">
        <f aca="false">N45*(1+IF(Q45="SÍ",Supuestos!$B$14,0))</f>
        <v>0.111</v>
      </c>
      <c r="S45" s="10" t="n">
        <f aca="false">M45*R45</f>
        <v>15.873</v>
      </c>
      <c r="T45" s="2"/>
      <c r="U45" s="2" t="s">
        <v>239</v>
      </c>
    </row>
    <row r="46" customFormat="false" ht="15" hidden="false" customHeight="false" outlineLevel="0" collapsed="false">
      <c r="A46" s="2" t="s">
        <v>400</v>
      </c>
      <c r="B46" s="2" t="s">
        <v>401</v>
      </c>
      <c r="C46" s="2" t="s">
        <v>402</v>
      </c>
      <c r="D46" s="2" t="s">
        <v>403</v>
      </c>
      <c r="E46" s="2" t="s">
        <v>404</v>
      </c>
      <c r="F46" s="2" t="s">
        <v>197</v>
      </c>
      <c r="G46" s="2" t="n">
        <v>0</v>
      </c>
      <c r="H46" s="2" t="n">
        <v>2</v>
      </c>
      <c r="I46" s="2" t="n">
        <v>0</v>
      </c>
      <c r="J46" s="35" t="n">
        <v>1</v>
      </c>
      <c r="K46" s="6" t="n">
        <f aca="false">J46*Supuestos!B$5</f>
        <v>135</v>
      </c>
      <c r="L46" s="6" t="n">
        <f aca="false">IF(OR(U46="Resistors",U46="Capacitors"),ROUNDUP(K46*Supuestos!$B$16,0)+Supuestos!$B$17,ROUNDUP(K46*Supuestos!$B$18,0)+Supuestos!$B$19)</f>
        <v>3</v>
      </c>
      <c r="M46" s="6" t="n">
        <f aca="false">K46+L46</f>
        <v>138</v>
      </c>
      <c r="N46" s="33" t="n">
        <v>0.1045</v>
      </c>
      <c r="O46" s="22" t="n">
        <v>12684</v>
      </c>
      <c r="P46" s="6" t="n">
        <f aca="false">SUMIF(BOM_V56!$B:$B,B46,BOM_V56!$M:$M)+SUMIF(BOM_V57!$B:$B,B46,BOM_V57!$M:$M)+SUMIF(BOM_v6!$B:$B,B46,BOM_v6!$M:$M)</f>
        <v>508</v>
      </c>
      <c r="Q46" s="2" t="str">
        <f aca="false">IF(P46&gt;O46,"SÍ","")</f>
        <v/>
      </c>
      <c r="R46" s="38" t="n">
        <f aca="false">N46*(1+IF(Q46="SÍ",Supuestos!$B$14,0))</f>
        <v>0.1045</v>
      </c>
      <c r="S46" s="10" t="n">
        <f aca="false">M46*R46</f>
        <v>14.421</v>
      </c>
      <c r="T46" s="2"/>
      <c r="U46" s="2" t="s">
        <v>405</v>
      </c>
    </row>
    <row r="47" customFormat="false" ht="15" hidden="false" customHeight="false" outlineLevel="0" collapsed="false">
      <c r="A47" s="2" t="s">
        <v>406</v>
      </c>
      <c r="B47" s="2" t="s">
        <v>407</v>
      </c>
      <c r="C47" s="2" t="s">
        <v>408</v>
      </c>
      <c r="D47" s="2" t="s">
        <v>363</v>
      </c>
      <c r="E47" s="2" t="s">
        <v>364</v>
      </c>
      <c r="F47" s="2" t="s">
        <v>197</v>
      </c>
      <c r="G47" s="2" t="n">
        <v>0</v>
      </c>
      <c r="H47" s="2" t="n">
        <v>2</v>
      </c>
      <c r="I47" s="2" t="n">
        <v>0</v>
      </c>
      <c r="J47" s="35" t="n">
        <v>1</v>
      </c>
      <c r="K47" s="6" t="n">
        <f aca="false">J47*Supuestos!B$5</f>
        <v>135</v>
      </c>
      <c r="L47" s="6" t="n">
        <f aca="false">IF(OR(U47="Resistors",U47="Capacitors"),ROUNDUP(K47*Supuestos!$B$16,0)+Supuestos!$B$17,ROUNDUP(K47*Supuestos!$B$18,0)+Supuestos!$B$19)</f>
        <v>3</v>
      </c>
      <c r="M47" s="6" t="n">
        <f aca="false">K47+L47</f>
        <v>138</v>
      </c>
      <c r="N47" s="33" t="n">
        <v>0.096</v>
      </c>
      <c r="O47" s="22" t="n">
        <v>10870</v>
      </c>
      <c r="P47" s="6" t="n">
        <f aca="false">SUMIF(BOM_V56!$B:$B,B47,BOM_V56!$M:$M)+SUMIF(BOM_V57!$B:$B,B47,BOM_V57!$M:$M)+SUMIF(BOM_v6!$B:$B,B47,BOM_v6!$M:$M)</f>
        <v>570</v>
      </c>
      <c r="Q47" s="2" t="str">
        <f aca="false">IF(P47&gt;O47,"SÍ","")</f>
        <v/>
      </c>
      <c r="R47" s="38" t="n">
        <f aca="false">N47*(1+IF(Q47="SÍ",Supuestos!$B$14,0))</f>
        <v>0.096</v>
      </c>
      <c r="S47" s="10" t="n">
        <f aca="false">M47*R47</f>
        <v>13.248</v>
      </c>
      <c r="T47" s="2"/>
      <c r="U47" s="2" t="s">
        <v>365</v>
      </c>
    </row>
    <row r="48" customFormat="false" ht="15" hidden="false" customHeight="false" outlineLevel="0" collapsed="false">
      <c r="A48" s="2" t="s">
        <v>409</v>
      </c>
      <c r="B48" s="2" t="s">
        <v>410</v>
      </c>
      <c r="C48" s="2" t="s">
        <v>411</v>
      </c>
      <c r="D48" s="2" t="s">
        <v>412</v>
      </c>
      <c r="E48" s="2" t="s">
        <v>413</v>
      </c>
      <c r="F48" s="2" t="s">
        <v>197</v>
      </c>
      <c r="G48" s="2" t="n">
        <v>0</v>
      </c>
      <c r="H48" s="2" t="n">
        <v>2</v>
      </c>
      <c r="I48" s="2" t="n">
        <v>0</v>
      </c>
      <c r="J48" s="35" t="n">
        <v>3</v>
      </c>
      <c r="K48" s="6" t="n">
        <f aca="false">J48*Supuestos!B$5</f>
        <v>405</v>
      </c>
      <c r="L48" s="6" t="n">
        <f aca="false">IF(OR(U48="Resistors",U48="Capacitors"),ROUNDUP(K48*Supuestos!$B$16,0)+Supuestos!$B$17,ROUNDUP(K48*Supuestos!$B$18,0)+Supuestos!$B$19)</f>
        <v>6</v>
      </c>
      <c r="M48" s="6" t="n">
        <f aca="false">K48+L48</f>
        <v>411</v>
      </c>
      <c r="N48" s="33" t="n">
        <v>0.0269</v>
      </c>
      <c r="O48" s="22" t="n">
        <v>508870</v>
      </c>
      <c r="P48" s="6" t="n">
        <f aca="false">SUMIF(BOM_V56!$B:$B,B48,BOM_V56!$M:$M)+SUMIF(BOM_V57!$B:$B,B48,BOM_V57!$M:$M)+SUMIF(BOM_v6!$B:$B,B48,BOM_v6!$M:$M)</f>
        <v>2065</v>
      </c>
      <c r="Q48" s="2" t="str">
        <f aca="false">IF(P48&gt;O48,"SÍ","")</f>
        <v/>
      </c>
      <c r="R48" s="38" t="n">
        <f aca="false">N48*(1+IF(Q48="SÍ",Supuestos!$B$14,0))</f>
        <v>0.0269</v>
      </c>
      <c r="S48" s="10" t="n">
        <f aca="false">M48*R48</f>
        <v>11.0559</v>
      </c>
      <c r="T48" s="2"/>
      <c r="U48" s="2" t="s">
        <v>370</v>
      </c>
    </row>
    <row r="49" customFormat="false" ht="15" hidden="false" customHeight="false" outlineLevel="0" collapsed="false">
      <c r="A49" s="2" t="s">
        <v>414</v>
      </c>
      <c r="B49" s="2" t="s">
        <v>415</v>
      </c>
      <c r="C49" s="2" t="s">
        <v>416</v>
      </c>
      <c r="D49" s="2" t="s">
        <v>289</v>
      </c>
      <c r="E49" s="2" t="s">
        <v>379</v>
      </c>
      <c r="F49" s="2" t="s">
        <v>238</v>
      </c>
      <c r="G49" s="2" t="n">
        <v>0</v>
      </c>
      <c r="H49" s="2" t="n">
        <v>3</v>
      </c>
      <c r="I49" s="2" t="n">
        <v>0</v>
      </c>
      <c r="J49" s="35" t="n">
        <v>1</v>
      </c>
      <c r="K49" s="6" t="n">
        <f aca="false">J49*Supuestos!B$5</f>
        <v>135</v>
      </c>
      <c r="L49" s="6" t="n">
        <f aca="false">IF(OR(U49="Resistors",U49="Capacitors"),ROUNDUP(K49*Supuestos!$B$16,0)+Supuestos!$B$17,ROUNDUP(K49*Supuestos!$B$18,0)+Supuestos!$B$19)</f>
        <v>3</v>
      </c>
      <c r="M49" s="6" t="n">
        <f aca="false">K49+L49</f>
        <v>138</v>
      </c>
      <c r="N49" s="33" t="n">
        <v>0.0783</v>
      </c>
      <c r="O49" s="22" t="n">
        <v>709733</v>
      </c>
      <c r="P49" s="6" t="n">
        <f aca="false">SUMIF(BOM_V56!$B:$B,B49,BOM_V56!$M:$M)+SUMIF(BOM_V57!$B:$B,B49,BOM_V57!$M:$M)+SUMIF(BOM_v6!$B:$B,B49,BOM_v6!$M:$M)</f>
        <v>570</v>
      </c>
      <c r="Q49" s="2" t="str">
        <f aca="false">IF(P49&gt;O49,"SÍ","")</f>
        <v/>
      </c>
      <c r="R49" s="38" t="n">
        <f aca="false">N49*(1+IF(Q49="SÍ",Supuestos!$B$14,0))</f>
        <v>0.0783</v>
      </c>
      <c r="S49" s="10" t="n">
        <f aca="false">M49*R49</f>
        <v>10.8054</v>
      </c>
      <c r="T49" s="2"/>
      <c r="U49" s="2" t="s">
        <v>291</v>
      </c>
    </row>
    <row r="50" customFormat="false" ht="15" hidden="false" customHeight="false" outlineLevel="0" collapsed="false">
      <c r="A50" s="2" t="s">
        <v>417</v>
      </c>
      <c r="B50" s="2" t="s">
        <v>418</v>
      </c>
      <c r="C50" s="2" t="s">
        <v>419</v>
      </c>
      <c r="D50" s="2" t="s">
        <v>420</v>
      </c>
      <c r="E50" s="2" t="s">
        <v>237</v>
      </c>
      <c r="F50" s="2" t="s">
        <v>238</v>
      </c>
      <c r="G50" s="2" t="n">
        <v>0</v>
      </c>
      <c r="H50" s="2" t="n">
        <v>2</v>
      </c>
      <c r="I50" s="2" t="n">
        <v>0</v>
      </c>
      <c r="J50" s="35" t="n">
        <v>6</v>
      </c>
      <c r="K50" s="6" t="n">
        <f aca="false">J50*Supuestos!B$5</f>
        <v>810</v>
      </c>
      <c r="L50" s="6" t="n">
        <f aca="false">IF(OR(U50="Resistors",U50="Capacitors"),ROUNDUP(K50*Supuestos!$B$16,0)+Supuestos!$B$17,ROUNDUP(K50*Supuestos!$B$18,0)+Supuestos!$B$19)</f>
        <v>10</v>
      </c>
      <c r="M50" s="6" t="n">
        <f aca="false">K50+L50</f>
        <v>820</v>
      </c>
      <c r="N50" s="33" t="n">
        <v>0.0128</v>
      </c>
      <c r="O50" s="22" t="n">
        <v>2376492</v>
      </c>
      <c r="P50" s="6" t="n">
        <f aca="false">SUMIF(BOM_V56!$B:$B,B50,BOM_V56!$M:$M)+SUMIF(BOM_V57!$B:$B,B50,BOM_V57!$M:$M)+SUMIF(BOM_v6!$B:$B,B50,BOM_v6!$M:$M)</f>
        <v>3398</v>
      </c>
      <c r="Q50" s="2" t="str">
        <f aca="false">IF(P50&gt;O50,"SÍ","")</f>
        <v/>
      </c>
      <c r="R50" s="38" t="n">
        <f aca="false">N50*(1+IF(Q50="SÍ",Supuestos!$B$14,0))</f>
        <v>0.0128</v>
      </c>
      <c r="S50" s="10" t="n">
        <f aca="false">M50*R50</f>
        <v>10.496</v>
      </c>
      <c r="T50" s="2"/>
      <c r="U50" s="2" t="s">
        <v>421</v>
      </c>
    </row>
    <row r="51" customFormat="false" ht="15" hidden="false" customHeight="false" outlineLevel="0" collapsed="false">
      <c r="A51" s="2" t="s">
        <v>422</v>
      </c>
      <c r="B51" s="2" t="s">
        <v>423</v>
      </c>
      <c r="C51" s="2" t="s">
        <v>424</v>
      </c>
      <c r="D51" s="2" t="s">
        <v>425</v>
      </c>
      <c r="E51" s="39" t="s">
        <v>426</v>
      </c>
      <c r="F51" s="2" t="s">
        <v>197</v>
      </c>
      <c r="G51" s="2" t="n">
        <v>1</v>
      </c>
      <c r="H51" s="2" t="n">
        <v>0</v>
      </c>
      <c r="I51" s="2" t="n">
        <v>4</v>
      </c>
      <c r="J51" s="35" t="n">
        <v>2</v>
      </c>
      <c r="K51" s="6" t="n">
        <f aca="false">J51*Supuestos!B$5</f>
        <v>270</v>
      </c>
      <c r="L51" s="6" t="n">
        <f aca="false">IF(OR(U51="Resistors",U51="Capacitors"),ROUNDUP(K51*Supuestos!$B$16,0)+Supuestos!$B$17,ROUNDUP(K51*Supuestos!$B$18,0)+Supuestos!$B$19)</f>
        <v>4</v>
      </c>
      <c r="M51" s="6" t="n">
        <f aca="false">K51+L51</f>
        <v>274</v>
      </c>
      <c r="N51" s="33" t="n">
        <v>0.0379</v>
      </c>
      <c r="O51" s="22" t="n">
        <v>1491</v>
      </c>
      <c r="P51" s="6" t="n">
        <f aca="false">SUMIF(BOM_V56!$B:$B,B51,BOM_V56!$M:$M)+SUMIF(BOM_V57!$B:$B,B51,BOM_V57!$M:$M)+SUMIF(BOM_v6!$B:$B,B51,BOM_v6!$M:$M)</f>
        <v>1136</v>
      </c>
      <c r="Q51" s="2" t="str">
        <f aca="false">IF(P51&gt;O51,"SÍ","")</f>
        <v/>
      </c>
      <c r="R51" s="38" t="n">
        <f aca="false">N51*(1+IF(Q51="SÍ",Supuestos!$B$14,0))</f>
        <v>0.0379</v>
      </c>
      <c r="S51" s="10" t="n">
        <f aca="false">M51*R51</f>
        <v>10.3846</v>
      </c>
      <c r="T51" s="2"/>
      <c r="U51" s="2" t="s">
        <v>333</v>
      </c>
    </row>
    <row r="52" customFormat="false" ht="15" hidden="false" customHeight="false" outlineLevel="0" collapsed="false">
      <c r="A52" s="2" t="s">
        <v>427</v>
      </c>
      <c r="B52" s="2" t="s">
        <v>428</v>
      </c>
      <c r="C52" s="2" t="s">
        <v>429</v>
      </c>
      <c r="D52" s="2" t="s">
        <v>358</v>
      </c>
      <c r="E52" s="39" t="s">
        <v>359</v>
      </c>
      <c r="F52" s="2" t="s">
        <v>197</v>
      </c>
      <c r="G52" s="2" t="n">
        <v>1</v>
      </c>
      <c r="H52" s="2" t="n">
        <v>0</v>
      </c>
      <c r="I52" s="2" t="n">
        <v>4</v>
      </c>
      <c r="J52" s="35" t="n">
        <v>1</v>
      </c>
      <c r="K52" s="6" t="n">
        <f aca="false">J52*Supuestos!B$5</f>
        <v>135</v>
      </c>
      <c r="L52" s="6" t="n">
        <f aca="false">IF(OR(U52="Resistors",U52="Capacitors"),ROUNDUP(K52*Supuestos!$B$16,0)+Supuestos!$B$17,ROUNDUP(K52*Supuestos!$B$18,0)+Supuestos!$B$19)</f>
        <v>3</v>
      </c>
      <c r="M52" s="6" t="n">
        <f aca="false">K52+L52</f>
        <v>138</v>
      </c>
      <c r="N52" s="33" t="n">
        <v>0.0467</v>
      </c>
      <c r="O52" s="22" t="n">
        <v>706985</v>
      </c>
      <c r="P52" s="6" t="n">
        <f aca="false">SUMIF(BOM_V56!$B:$B,B52,BOM_V56!$M:$M)+SUMIF(BOM_V57!$B:$B,B52,BOM_V57!$M:$M)+SUMIF(BOM_v6!$B:$B,B52,BOM_v6!$M:$M)</f>
        <v>570</v>
      </c>
      <c r="Q52" s="2" t="str">
        <f aca="false">IF(P52&gt;O52,"SÍ","")</f>
        <v/>
      </c>
      <c r="R52" s="38" t="n">
        <f aca="false">N52*(1+IF(Q52="SÍ",Supuestos!$B$14,0))</f>
        <v>0.0467</v>
      </c>
      <c r="S52" s="10" t="n">
        <f aca="false">M52*R52</f>
        <v>6.4446</v>
      </c>
      <c r="T52" s="2"/>
      <c r="U52" s="2" t="s">
        <v>254</v>
      </c>
    </row>
    <row r="53" customFormat="false" ht="15" hidden="false" customHeight="false" outlineLevel="0" collapsed="false">
      <c r="A53" s="2" t="s">
        <v>430</v>
      </c>
      <c r="B53" s="2" t="s">
        <v>431</v>
      </c>
      <c r="C53" s="2" t="s">
        <v>432</v>
      </c>
      <c r="D53" s="2" t="s">
        <v>358</v>
      </c>
      <c r="E53" s="39" t="s">
        <v>359</v>
      </c>
      <c r="F53" s="2" t="s">
        <v>197</v>
      </c>
      <c r="G53" s="2" t="n">
        <v>1</v>
      </c>
      <c r="H53" s="2" t="n">
        <v>0</v>
      </c>
      <c r="I53" s="2" t="n">
        <v>3</v>
      </c>
      <c r="J53" s="35" t="n">
        <v>1</v>
      </c>
      <c r="K53" s="6" t="n">
        <f aca="false">J53*Supuestos!B$5</f>
        <v>135</v>
      </c>
      <c r="L53" s="6" t="n">
        <f aca="false">IF(OR(U53="Resistors",U53="Capacitors"),ROUNDUP(K53*Supuestos!$B$16,0)+Supuestos!$B$17,ROUNDUP(K53*Supuestos!$B$18,0)+Supuestos!$B$19)</f>
        <v>3</v>
      </c>
      <c r="M53" s="6" t="n">
        <f aca="false">K53+L53</f>
        <v>138</v>
      </c>
      <c r="N53" s="33" t="n">
        <v>0.0449</v>
      </c>
      <c r="O53" s="22" t="n">
        <v>83477</v>
      </c>
      <c r="P53" s="6" t="n">
        <f aca="false">SUMIF(BOM_V56!$B:$B,B53,BOM_V56!$M:$M)+SUMIF(BOM_V57!$B:$B,B53,BOM_V57!$M:$M)+SUMIF(BOM_v6!$B:$B,B53,BOM_v6!$M:$M)</f>
        <v>570</v>
      </c>
      <c r="Q53" s="2" t="str">
        <f aca="false">IF(P53&gt;O53,"SÍ","")</f>
        <v/>
      </c>
      <c r="R53" s="38" t="n">
        <f aca="false">N53*(1+IF(Q53="SÍ",Supuestos!$B$14,0))</f>
        <v>0.0449</v>
      </c>
      <c r="S53" s="10" t="n">
        <f aca="false">M53*R53</f>
        <v>6.1962</v>
      </c>
      <c r="T53" s="2"/>
      <c r="U53" s="2" t="s">
        <v>254</v>
      </c>
    </row>
    <row r="54" customFormat="false" ht="15" hidden="false" customHeight="false" outlineLevel="0" collapsed="false">
      <c r="A54" s="2" t="s">
        <v>433</v>
      </c>
      <c r="B54" s="2" t="s">
        <v>434</v>
      </c>
      <c r="C54" s="2" t="s">
        <v>435</v>
      </c>
      <c r="D54" s="2" t="s">
        <v>436</v>
      </c>
      <c r="E54" s="2" t="s">
        <v>345</v>
      </c>
      <c r="F54" s="2" t="s">
        <v>197</v>
      </c>
      <c r="G54" s="2" t="n">
        <v>0</v>
      </c>
      <c r="H54" s="2" t="n">
        <v>2</v>
      </c>
      <c r="I54" s="2" t="n">
        <v>0</v>
      </c>
      <c r="J54" s="35" t="n">
        <v>1</v>
      </c>
      <c r="K54" s="6" t="n">
        <f aca="false">J54*Supuestos!B$5</f>
        <v>135</v>
      </c>
      <c r="L54" s="6" t="n">
        <f aca="false">IF(OR(U54="Resistors",U54="Capacitors"),ROUNDUP(K54*Supuestos!$B$16,0)+Supuestos!$B$17,ROUNDUP(K54*Supuestos!$B$18,0)+Supuestos!$B$19)</f>
        <v>8</v>
      </c>
      <c r="M54" s="6" t="n">
        <f aca="false">K54+L54</f>
        <v>143</v>
      </c>
      <c r="N54" s="33" t="n">
        <v>0.0397</v>
      </c>
      <c r="O54" s="22" t="n">
        <v>182655</v>
      </c>
      <c r="P54" s="6" t="n">
        <f aca="false">SUMIF(BOM_V56!$B:$B,B54,BOM_V56!$M:$M)+SUMIF(BOM_V57!$B:$B,B54,BOM_V57!$M:$M)+SUMIF(BOM_v6!$B:$B,B54,BOM_v6!$M:$M)</f>
        <v>588</v>
      </c>
      <c r="Q54" s="2" t="str">
        <f aca="false">IF(P54&gt;O54,"SÍ","")</f>
        <v/>
      </c>
      <c r="R54" s="38" t="n">
        <f aca="false">N54*(1+IF(Q54="SÍ",Supuestos!$B$14,0))</f>
        <v>0.0397</v>
      </c>
      <c r="S54" s="10" t="n">
        <f aca="false">M54*R54</f>
        <v>5.6771</v>
      </c>
      <c r="T54" s="2"/>
      <c r="U54" s="2" t="s">
        <v>437</v>
      </c>
    </row>
    <row r="55" customFormat="false" ht="15" hidden="false" customHeight="false" outlineLevel="0" collapsed="false">
      <c r="A55" s="2" t="s">
        <v>438</v>
      </c>
      <c r="B55" s="2" t="s">
        <v>439</v>
      </c>
      <c r="C55" s="2" t="s">
        <v>440</v>
      </c>
      <c r="D55" s="2" t="s">
        <v>441</v>
      </c>
      <c r="E55" s="2" t="s">
        <v>379</v>
      </c>
      <c r="F55" s="2" t="s">
        <v>197</v>
      </c>
      <c r="G55" s="2" t="n">
        <v>0</v>
      </c>
      <c r="H55" s="2" t="n">
        <v>3</v>
      </c>
      <c r="I55" s="2" t="n">
        <v>0</v>
      </c>
      <c r="J55" s="35" t="n">
        <v>1</v>
      </c>
      <c r="K55" s="6" t="n">
        <f aca="false">J55*Supuestos!B$5</f>
        <v>135</v>
      </c>
      <c r="L55" s="6" t="n">
        <f aca="false">IF(OR(U55="Resistors",U55="Capacitors"),ROUNDUP(K55*Supuestos!$B$16,0)+Supuestos!$B$17,ROUNDUP(K55*Supuestos!$B$18,0)+Supuestos!$B$19)</f>
        <v>3</v>
      </c>
      <c r="M55" s="6" t="n">
        <f aca="false">K55+L55</f>
        <v>138</v>
      </c>
      <c r="N55" s="33" t="n">
        <v>0.0352</v>
      </c>
      <c r="O55" s="22" t="n">
        <v>31023</v>
      </c>
      <c r="P55" s="6" t="n">
        <f aca="false">SUMIF(BOM_V56!$B:$B,B55,BOM_V56!$M:$M)+SUMIF(BOM_V57!$B:$B,B55,BOM_V57!$M:$M)+SUMIF(BOM_v6!$B:$B,B55,BOM_v6!$M:$M)</f>
        <v>570</v>
      </c>
      <c r="Q55" s="2" t="str">
        <f aca="false">IF(P55&gt;O55,"SÍ","")</f>
        <v/>
      </c>
      <c r="R55" s="38" t="n">
        <f aca="false">N55*(1+IF(Q55="SÍ",Supuestos!$B$14,0))</f>
        <v>0.0352</v>
      </c>
      <c r="S55" s="10" t="n">
        <f aca="false">M55*R55</f>
        <v>4.8576</v>
      </c>
      <c r="T55" s="2"/>
      <c r="U55" s="2" t="s">
        <v>385</v>
      </c>
    </row>
    <row r="56" customFormat="false" ht="15" hidden="false" customHeight="false" outlineLevel="0" collapsed="false">
      <c r="A56" s="2" t="s">
        <v>442</v>
      </c>
      <c r="B56" s="2" t="s">
        <v>443</v>
      </c>
      <c r="C56" s="2" t="s">
        <v>444</v>
      </c>
      <c r="D56" s="2" t="s">
        <v>236</v>
      </c>
      <c r="E56" s="2" t="s">
        <v>237</v>
      </c>
      <c r="F56" s="2" t="s">
        <v>238</v>
      </c>
      <c r="G56" s="2" t="n">
        <v>0</v>
      </c>
      <c r="H56" s="2" t="n">
        <v>2</v>
      </c>
      <c r="I56" s="2" t="n">
        <v>0</v>
      </c>
      <c r="J56" s="35" t="n">
        <v>1</v>
      </c>
      <c r="K56" s="6" t="n">
        <f aca="false">J56*Supuestos!B$5</f>
        <v>135</v>
      </c>
      <c r="L56" s="6" t="n">
        <f aca="false">IF(OR(U56="Resistors",U56="Capacitors"),ROUNDUP(K56*Supuestos!$B$16,0)+Supuestos!$B$17,ROUNDUP(K56*Supuestos!$B$18,0)+Supuestos!$B$19)</f>
        <v>8</v>
      </c>
      <c r="M56" s="6" t="n">
        <f aca="false">K56+L56</f>
        <v>143</v>
      </c>
      <c r="N56" s="33" t="n">
        <v>0.0343</v>
      </c>
      <c r="O56" s="22" t="n">
        <v>1977922</v>
      </c>
      <c r="P56" s="6" t="n">
        <f aca="false">SUMIF(BOM_V56!$B:$B,B56,BOM_V56!$M:$M)+SUMIF(BOM_V57!$B:$B,B56,BOM_V57!$M:$M)+SUMIF(BOM_v6!$B:$B,B56,BOM_v6!$M:$M)</f>
        <v>588</v>
      </c>
      <c r="Q56" s="2" t="str">
        <f aca="false">IF(P56&gt;O56,"SÍ","")</f>
        <v/>
      </c>
      <c r="R56" s="38" t="n">
        <f aca="false">N56*(1+IF(Q56="SÍ",Supuestos!$B$14,0))</f>
        <v>0.0343</v>
      </c>
      <c r="S56" s="10" t="n">
        <f aca="false">M56*R56</f>
        <v>4.9049</v>
      </c>
      <c r="T56" s="2"/>
      <c r="U56" s="2" t="s">
        <v>239</v>
      </c>
    </row>
    <row r="57" customFormat="false" ht="15" hidden="false" customHeight="false" outlineLevel="0" collapsed="false">
      <c r="A57" s="2" t="s">
        <v>445</v>
      </c>
      <c r="B57" s="2" t="s">
        <v>446</v>
      </c>
      <c r="C57" s="2" t="s">
        <v>447</v>
      </c>
      <c r="D57" s="2" t="s">
        <v>448</v>
      </c>
      <c r="E57" s="2" t="s">
        <v>316</v>
      </c>
      <c r="F57" s="2" t="s">
        <v>238</v>
      </c>
      <c r="G57" s="2" t="n">
        <v>0</v>
      </c>
      <c r="H57" s="2" t="n">
        <v>2</v>
      </c>
      <c r="I57" s="2" t="n">
        <v>0</v>
      </c>
      <c r="J57" s="35" t="n">
        <v>14</v>
      </c>
      <c r="K57" s="6" t="n">
        <f aca="false">J57*Supuestos!B$5</f>
        <v>1890</v>
      </c>
      <c r="L57" s="6" t="n">
        <f aca="false">IF(OR(U57="Resistors",U57="Capacitors"),ROUNDUP(K57*Supuestos!$B$16,0)+Supuestos!$B$17,ROUNDUP(K57*Supuestos!$B$18,0)+Supuestos!$B$19)</f>
        <v>43</v>
      </c>
      <c r="M57" s="6" t="n">
        <f aca="false">K57+L57</f>
        <v>1933</v>
      </c>
      <c r="N57" s="33" t="n">
        <v>0.0024</v>
      </c>
      <c r="O57" s="22" t="n">
        <v>17862685</v>
      </c>
      <c r="P57" s="6" t="n">
        <f aca="false">SUMIF(BOM_V56!$B:$B,B57,BOM_V56!$M:$M)+SUMIF(BOM_V57!$B:$B,B57,BOM_V57!$M:$M)+SUMIF(BOM_v6!$B:$B,B57,BOM_v6!$M:$M)</f>
        <v>7141</v>
      </c>
      <c r="Q57" s="2" t="str">
        <f aca="false">IF(P57&gt;O57,"SÍ","")</f>
        <v/>
      </c>
      <c r="R57" s="38" t="n">
        <f aca="false">N57*(1+IF(Q57="SÍ",Supuestos!$B$14,0))</f>
        <v>0.0024</v>
      </c>
      <c r="S57" s="10" t="n">
        <f aca="false">M57*R57</f>
        <v>4.6392</v>
      </c>
      <c r="T57" s="2"/>
      <c r="U57" s="2" t="s">
        <v>437</v>
      </c>
    </row>
    <row r="58" customFormat="false" ht="15" hidden="false" customHeight="false" outlineLevel="0" collapsed="false">
      <c r="A58" s="2" t="s">
        <v>449</v>
      </c>
      <c r="B58" s="2" t="s">
        <v>450</v>
      </c>
      <c r="C58" s="2" t="s">
        <v>451</v>
      </c>
      <c r="D58" s="2" t="s">
        <v>236</v>
      </c>
      <c r="E58" s="2" t="s">
        <v>316</v>
      </c>
      <c r="F58" s="2" t="s">
        <v>238</v>
      </c>
      <c r="G58" s="2" t="n">
        <v>0</v>
      </c>
      <c r="H58" s="2" t="n">
        <v>2</v>
      </c>
      <c r="I58" s="2" t="n">
        <v>0</v>
      </c>
      <c r="J58" s="35" t="n">
        <v>2</v>
      </c>
      <c r="K58" s="6" t="n">
        <f aca="false">J58*Supuestos!B$5</f>
        <v>270</v>
      </c>
      <c r="L58" s="6" t="n">
        <f aca="false">IF(OR(U58="Resistors",U58="Capacitors"),ROUNDUP(K58*Supuestos!$B$16,0)+Supuestos!$B$17,ROUNDUP(K58*Supuestos!$B$18,0)+Supuestos!$B$19)</f>
        <v>11</v>
      </c>
      <c r="M58" s="6" t="n">
        <f aca="false">K58+L58</f>
        <v>281</v>
      </c>
      <c r="N58" s="33" t="n">
        <v>0.0158</v>
      </c>
      <c r="O58" s="22" t="n">
        <v>271449</v>
      </c>
      <c r="P58" s="6" t="n">
        <f aca="false">SUMIF(BOM_V56!$B:$B,B58,BOM_V56!$M:$M)+SUMIF(BOM_V57!$B:$B,B58,BOM_V57!$M:$M)+SUMIF(BOM_v6!$B:$B,B58,BOM_v6!$M:$M)</f>
        <v>1031</v>
      </c>
      <c r="Q58" s="2" t="str">
        <f aca="false">IF(P58&gt;O58,"SÍ","")</f>
        <v/>
      </c>
      <c r="R58" s="38" t="n">
        <f aca="false">N58*(1+IF(Q58="SÍ",Supuestos!$B$14,0))</f>
        <v>0.0158</v>
      </c>
      <c r="S58" s="10" t="n">
        <f aca="false">M58*R58</f>
        <v>4.4398</v>
      </c>
      <c r="T58" s="2"/>
      <c r="U58" s="2" t="s">
        <v>239</v>
      </c>
    </row>
    <row r="59" customFormat="false" ht="15" hidden="false" customHeight="false" outlineLevel="0" collapsed="false">
      <c r="A59" s="2" t="s">
        <v>452</v>
      </c>
      <c r="B59" s="2" t="s">
        <v>453</v>
      </c>
      <c r="C59" s="2" t="s">
        <v>454</v>
      </c>
      <c r="D59" s="2" t="s">
        <v>455</v>
      </c>
      <c r="E59" s="2" t="s">
        <v>456</v>
      </c>
      <c r="F59" s="2" t="s">
        <v>197</v>
      </c>
      <c r="G59" s="2" t="n">
        <v>0</v>
      </c>
      <c r="H59" s="2" t="n">
        <v>2</v>
      </c>
      <c r="I59" s="2" t="n">
        <v>0</v>
      </c>
      <c r="J59" s="35" t="n">
        <v>1</v>
      </c>
      <c r="K59" s="6" t="n">
        <f aca="false">J59*Supuestos!B$5</f>
        <v>135</v>
      </c>
      <c r="L59" s="6" t="n">
        <f aca="false">IF(OR(U59="Resistors",U59="Capacitors"),ROUNDUP(K59*Supuestos!$B$16,0)+Supuestos!$B$17,ROUNDUP(K59*Supuestos!$B$18,0)+Supuestos!$B$19)</f>
        <v>3</v>
      </c>
      <c r="M59" s="6" t="n">
        <f aca="false">K59+L59</f>
        <v>138</v>
      </c>
      <c r="N59" s="33" t="n">
        <v>0.0271</v>
      </c>
      <c r="O59" s="22" t="n">
        <v>551</v>
      </c>
      <c r="P59" s="6" t="n">
        <f aca="false">SUMIF(BOM_V56!$B:$B,B59,BOM_V56!$M:$M)+SUMIF(BOM_V57!$B:$B,B59,BOM_V57!$M:$M)+SUMIF(BOM_v6!$B:$B,B59,BOM_v6!$M:$M)</f>
        <v>570</v>
      </c>
      <c r="Q59" s="2" t="str">
        <f aca="false">IF(P59&gt;O59,"SÍ","")</f>
        <v>SÍ</v>
      </c>
      <c r="R59" s="38" t="n">
        <f aca="false">N59*(1+IF(Q59="SÍ",Supuestos!$B$14,0))</f>
        <v>0.031165</v>
      </c>
      <c r="S59" s="10" t="n">
        <f aca="false">M59*R59</f>
        <v>4.30077</v>
      </c>
      <c r="T59" s="2"/>
      <c r="U59" s="2" t="s">
        <v>385</v>
      </c>
    </row>
    <row r="60" customFormat="false" ht="15" hidden="false" customHeight="false" outlineLevel="0" collapsed="false">
      <c r="A60" s="2" t="s">
        <v>457</v>
      </c>
      <c r="B60" s="2" t="s">
        <v>458</v>
      </c>
      <c r="C60" s="2" t="s">
        <v>459</v>
      </c>
      <c r="D60" s="2" t="s">
        <v>236</v>
      </c>
      <c r="E60" s="2" t="s">
        <v>316</v>
      </c>
      <c r="F60" s="2" t="s">
        <v>238</v>
      </c>
      <c r="G60" s="2" t="n">
        <v>0</v>
      </c>
      <c r="H60" s="2" t="n">
        <v>2</v>
      </c>
      <c r="I60" s="2" t="n">
        <v>0</v>
      </c>
      <c r="J60" s="35" t="n">
        <v>1</v>
      </c>
      <c r="K60" s="6" t="n">
        <f aca="false">J60*Supuestos!B$5</f>
        <v>135</v>
      </c>
      <c r="L60" s="6" t="n">
        <f aca="false">IF(OR(U60="Resistors",U60="Capacitors"),ROUNDUP(K60*Supuestos!$B$16,0)+Supuestos!$B$17,ROUNDUP(K60*Supuestos!$B$18,0)+Supuestos!$B$19)</f>
        <v>8</v>
      </c>
      <c r="M60" s="6" t="n">
        <f aca="false">K60+L60</f>
        <v>143</v>
      </c>
      <c r="N60" s="33" t="n">
        <v>0.0272</v>
      </c>
      <c r="O60" s="22" t="n">
        <v>12783802</v>
      </c>
      <c r="P60" s="6" t="n">
        <f aca="false">SUMIF(BOM_V56!$B:$B,B60,BOM_V56!$M:$M)+SUMIF(BOM_V57!$B:$B,B60,BOM_V57!$M:$M)+SUMIF(BOM_v6!$B:$B,B60,BOM_v6!$M:$M)</f>
        <v>521</v>
      </c>
      <c r="Q60" s="2" t="str">
        <f aca="false">IF(P60&gt;O60,"SÍ","")</f>
        <v/>
      </c>
      <c r="R60" s="38" t="n">
        <f aca="false">N60*(1+IF(Q60="SÍ",Supuestos!$B$14,0))</f>
        <v>0.0272</v>
      </c>
      <c r="S60" s="10" t="n">
        <f aca="false">M60*R60</f>
        <v>3.8896</v>
      </c>
      <c r="T60" s="2"/>
      <c r="U60" s="2" t="s">
        <v>239</v>
      </c>
    </row>
    <row r="61" customFormat="false" ht="15" hidden="false" customHeight="false" outlineLevel="0" collapsed="false">
      <c r="A61" s="2" t="s">
        <v>460</v>
      </c>
      <c r="B61" s="2" t="s">
        <v>461</v>
      </c>
      <c r="C61" s="2" t="s">
        <v>462</v>
      </c>
      <c r="D61" s="2" t="s">
        <v>448</v>
      </c>
      <c r="E61" s="2" t="s">
        <v>316</v>
      </c>
      <c r="F61" s="2" t="s">
        <v>238</v>
      </c>
      <c r="G61" s="2" t="n">
        <v>0</v>
      </c>
      <c r="H61" s="2" t="n">
        <v>2</v>
      </c>
      <c r="I61" s="2" t="n">
        <v>0</v>
      </c>
      <c r="J61" s="35" t="n">
        <v>15</v>
      </c>
      <c r="K61" s="6" t="n">
        <f aca="false">J61*Supuestos!B$5</f>
        <v>2025</v>
      </c>
      <c r="L61" s="6" t="n">
        <f aca="false">IF(OR(U61="Resistors",U61="Capacitors"),ROUNDUP(K61*Supuestos!$B$16,0)+Supuestos!$B$17,ROUNDUP(K61*Supuestos!$B$18,0)+Supuestos!$B$19)</f>
        <v>46</v>
      </c>
      <c r="M61" s="6" t="n">
        <f aca="false">K61+L61</f>
        <v>2071</v>
      </c>
      <c r="N61" s="33" t="n">
        <v>0.0018</v>
      </c>
      <c r="O61" s="22" t="n">
        <v>39448110</v>
      </c>
      <c r="P61" s="6" t="n">
        <f aca="false">SUMIF(BOM_V56!$B:$B,B61,BOM_V56!$M:$M)+SUMIF(BOM_V57!$B:$B,B61,BOM_V57!$M:$M)+SUMIF(BOM_v6!$B:$B,B61,BOM_v6!$M:$M)</f>
        <v>8584</v>
      </c>
      <c r="Q61" s="2" t="str">
        <f aca="false">IF(P61&gt;O61,"SÍ","")</f>
        <v/>
      </c>
      <c r="R61" s="38" t="n">
        <f aca="false">N61*(1+IF(Q61="SÍ",Supuestos!$B$14,0))</f>
        <v>0.0018</v>
      </c>
      <c r="S61" s="10" t="n">
        <f aca="false">M61*R61</f>
        <v>3.7278</v>
      </c>
      <c r="T61" s="2"/>
      <c r="U61" s="2" t="s">
        <v>437</v>
      </c>
    </row>
    <row r="62" customFormat="false" ht="15" hidden="false" customHeight="false" outlineLevel="0" collapsed="false">
      <c r="A62" s="2" t="s">
        <v>463</v>
      </c>
      <c r="B62" s="2" t="s">
        <v>464</v>
      </c>
      <c r="C62" s="2" t="s">
        <v>465</v>
      </c>
      <c r="D62" s="2" t="s">
        <v>236</v>
      </c>
      <c r="E62" s="2" t="s">
        <v>316</v>
      </c>
      <c r="F62" s="2" t="s">
        <v>238</v>
      </c>
      <c r="G62" s="2" t="n">
        <v>0</v>
      </c>
      <c r="H62" s="2" t="n">
        <v>2</v>
      </c>
      <c r="I62" s="2" t="n">
        <v>0</v>
      </c>
      <c r="J62" s="35" t="n">
        <v>2</v>
      </c>
      <c r="K62" s="6" t="n">
        <f aca="false">J62*Supuestos!B$5</f>
        <v>270</v>
      </c>
      <c r="L62" s="6" t="n">
        <f aca="false">IF(OR(U62="Resistors",U62="Capacitors"),ROUNDUP(K62*Supuestos!$B$16,0)+Supuestos!$B$17,ROUNDUP(K62*Supuestos!$B$18,0)+Supuestos!$B$19)</f>
        <v>11</v>
      </c>
      <c r="M62" s="6" t="n">
        <f aca="false">K62+L62</f>
        <v>281</v>
      </c>
      <c r="N62" s="33" t="n">
        <v>0.0128</v>
      </c>
      <c r="O62" s="22" t="n">
        <v>3660729</v>
      </c>
      <c r="P62" s="6" t="n">
        <f aca="false">SUMIF(BOM_V56!$B:$B,B62,BOM_V56!$M:$M)+SUMIF(BOM_V57!$B:$B,B62,BOM_V57!$M:$M)+SUMIF(BOM_v6!$B:$B,B62,BOM_v6!$M:$M)</f>
        <v>1159</v>
      </c>
      <c r="Q62" s="2" t="str">
        <f aca="false">IF(P62&gt;O62,"SÍ","")</f>
        <v/>
      </c>
      <c r="R62" s="38" t="n">
        <f aca="false">N62*(1+IF(Q62="SÍ",Supuestos!$B$14,0))</f>
        <v>0.0128</v>
      </c>
      <c r="S62" s="10" t="n">
        <f aca="false">M62*R62</f>
        <v>3.5968</v>
      </c>
      <c r="T62" s="2"/>
      <c r="U62" s="2" t="s">
        <v>239</v>
      </c>
    </row>
    <row r="63" customFormat="false" ht="15" hidden="false" customHeight="false" outlineLevel="0" collapsed="false">
      <c r="A63" s="2" t="s">
        <v>466</v>
      </c>
      <c r="B63" s="2" t="s">
        <v>467</v>
      </c>
      <c r="C63" s="2" t="s">
        <v>468</v>
      </c>
      <c r="D63" s="2" t="s">
        <v>469</v>
      </c>
      <c r="E63" s="39" t="s">
        <v>470</v>
      </c>
      <c r="F63" s="2" t="s">
        <v>197</v>
      </c>
      <c r="G63" s="2" t="n">
        <v>1</v>
      </c>
      <c r="H63" s="2" t="n">
        <v>0</v>
      </c>
      <c r="I63" s="2" t="n">
        <v>4</v>
      </c>
      <c r="J63" s="35" t="n">
        <v>1</v>
      </c>
      <c r="K63" s="6" t="n">
        <f aca="false">J63*Supuestos!B$5</f>
        <v>135</v>
      </c>
      <c r="L63" s="6" t="n">
        <f aca="false">IF(OR(U63="Resistors",U63="Capacitors"),ROUNDUP(K63*Supuestos!$B$16,0)+Supuestos!$B$17,ROUNDUP(K63*Supuestos!$B$18,0)+Supuestos!$B$19)</f>
        <v>3</v>
      </c>
      <c r="M63" s="6" t="n">
        <f aca="false">K63+L63</f>
        <v>138</v>
      </c>
      <c r="N63" s="33" t="n">
        <v>0.0253</v>
      </c>
      <c r="O63" s="22" t="n">
        <v>32332</v>
      </c>
      <c r="P63" s="6" t="n">
        <f aca="false">SUMIF(BOM_V56!$B:$B,B63,BOM_V56!$M:$M)+SUMIF(BOM_V57!$B:$B,B63,BOM_V57!$M:$M)+SUMIF(BOM_v6!$B:$B,B63,BOM_v6!$M:$M)</f>
        <v>570</v>
      </c>
      <c r="Q63" s="2" t="str">
        <f aca="false">IF(P63&gt;O63,"SÍ","")</f>
        <v/>
      </c>
      <c r="R63" s="38" t="n">
        <f aca="false">N63*(1+IF(Q63="SÍ",Supuestos!$B$14,0))</f>
        <v>0.0253</v>
      </c>
      <c r="S63" s="10" t="n">
        <f aca="false">M63*R63</f>
        <v>3.4914</v>
      </c>
      <c r="T63" s="2"/>
      <c r="U63" s="2" t="s">
        <v>254</v>
      </c>
    </row>
    <row r="64" customFormat="false" ht="15" hidden="false" customHeight="false" outlineLevel="0" collapsed="false">
      <c r="A64" s="2" t="s">
        <v>471</v>
      </c>
      <c r="B64" s="2" t="s">
        <v>472</v>
      </c>
      <c r="C64" s="2" t="s">
        <v>473</v>
      </c>
      <c r="D64" s="2" t="s">
        <v>455</v>
      </c>
      <c r="E64" s="2" t="s">
        <v>379</v>
      </c>
      <c r="F64" s="2" t="s">
        <v>238</v>
      </c>
      <c r="G64" s="2" t="n">
        <v>0</v>
      </c>
      <c r="H64" s="2" t="n">
        <v>3</v>
      </c>
      <c r="I64" s="2" t="n">
        <v>0</v>
      </c>
      <c r="J64" s="35" t="n">
        <v>2</v>
      </c>
      <c r="K64" s="6" t="n">
        <f aca="false">J64*Supuestos!B$5</f>
        <v>270</v>
      </c>
      <c r="L64" s="6" t="n">
        <f aca="false">IF(OR(U64="Resistors",U64="Capacitors"),ROUNDUP(K64*Supuestos!$B$16,0)+Supuestos!$B$17,ROUNDUP(K64*Supuestos!$B$18,0)+Supuestos!$B$19)</f>
        <v>4</v>
      </c>
      <c r="M64" s="6" t="n">
        <f aca="false">K64+L64</f>
        <v>274</v>
      </c>
      <c r="N64" s="33" t="n">
        <v>0.0116</v>
      </c>
      <c r="O64" s="22" t="n">
        <v>2111143</v>
      </c>
      <c r="P64" s="6" t="n">
        <f aca="false">SUMIF(BOM_V56!$B:$B,B64,BOM_V56!$M:$M)+SUMIF(BOM_V57!$B:$B,B64,BOM_V57!$M:$M)+SUMIF(BOM_v6!$B:$B,B64,BOM_v6!$M:$M)</f>
        <v>1136</v>
      </c>
      <c r="Q64" s="2" t="str">
        <f aca="false">IF(P64&gt;O64,"SÍ","")</f>
        <v/>
      </c>
      <c r="R64" s="38" t="n">
        <f aca="false">N64*(1+IF(Q64="SÍ",Supuestos!$B$14,0))</f>
        <v>0.0116</v>
      </c>
      <c r="S64" s="10" t="n">
        <f aca="false">M64*R64</f>
        <v>3.1784</v>
      </c>
      <c r="T64" s="2"/>
      <c r="U64" s="2" t="s">
        <v>291</v>
      </c>
    </row>
    <row r="65" customFormat="false" ht="15" hidden="false" customHeight="false" outlineLevel="0" collapsed="false">
      <c r="A65" s="2" t="s">
        <v>474</v>
      </c>
      <c r="B65" s="2" t="s">
        <v>475</v>
      </c>
      <c r="C65" s="2" t="s">
        <v>476</v>
      </c>
      <c r="D65" s="2" t="s">
        <v>477</v>
      </c>
      <c r="E65" s="2" t="s">
        <v>316</v>
      </c>
      <c r="F65" s="2" t="s">
        <v>197</v>
      </c>
      <c r="G65" s="2" t="n">
        <v>0</v>
      </c>
      <c r="H65" s="2" t="n">
        <v>2</v>
      </c>
      <c r="I65" s="2" t="n">
        <v>0</v>
      </c>
      <c r="J65" s="35" t="n">
        <v>1</v>
      </c>
      <c r="K65" s="6" t="n">
        <f aca="false">J65*Supuestos!B$5</f>
        <v>135</v>
      </c>
      <c r="L65" s="6" t="n">
        <f aca="false">IF(OR(U65="Resistors",U65="Capacitors"),ROUNDUP(K65*Supuestos!$B$16,0)+Supuestos!$B$17,ROUNDUP(K65*Supuestos!$B$18,0)+Supuestos!$B$19)</f>
        <v>3</v>
      </c>
      <c r="M65" s="6" t="n">
        <f aca="false">K65+L65</f>
        <v>138</v>
      </c>
      <c r="N65" s="33" t="n">
        <v>0.0231</v>
      </c>
      <c r="O65" s="22" t="n">
        <v>120188</v>
      </c>
      <c r="P65" s="6" t="n">
        <f aca="false">SUMIF(BOM_V56!$B:$B,B65,BOM_V56!$M:$M)+SUMIF(BOM_V57!$B:$B,B65,BOM_V57!$M:$M)+SUMIF(BOM_v6!$B:$B,B65,BOM_v6!$M:$M)</f>
        <v>570</v>
      </c>
      <c r="Q65" s="2" t="str">
        <f aca="false">IF(P65&gt;O65,"SÍ","")</f>
        <v/>
      </c>
      <c r="R65" s="38" t="n">
        <f aca="false">N65*(1+IF(Q65="SÍ",Supuestos!$B$14,0))</f>
        <v>0.0231</v>
      </c>
      <c r="S65" s="10" t="n">
        <f aca="false">M65*R65</f>
        <v>3.1878</v>
      </c>
      <c r="T65" s="2"/>
      <c r="U65" s="2" t="s">
        <v>421</v>
      </c>
    </row>
    <row r="66" customFormat="false" ht="15" hidden="false" customHeight="false" outlineLevel="0" collapsed="false">
      <c r="A66" s="2" t="s">
        <v>478</v>
      </c>
      <c r="B66" s="2" t="s">
        <v>479</v>
      </c>
      <c r="C66" s="2" t="s">
        <v>480</v>
      </c>
      <c r="D66" s="2" t="s">
        <v>477</v>
      </c>
      <c r="E66" s="2" t="s">
        <v>316</v>
      </c>
      <c r="F66" s="2" t="s">
        <v>197</v>
      </c>
      <c r="G66" s="2" t="n">
        <v>0</v>
      </c>
      <c r="H66" s="2" t="n">
        <v>2</v>
      </c>
      <c r="I66" s="2" t="n">
        <v>0</v>
      </c>
      <c r="J66" s="35" t="n">
        <v>1</v>
      </c>
      <c r="K66" s="6" t="n">
        <f aca="false">J66*Supuestos!B$5</f>
        <v>135</v>
      </c>
      <c r="L66" s="6" t="n">
        <f aca="false">IF(OR(U66="Resistors",U66="Capacitors"),ROUNDUP(K66*Supuestos!$B$16,0)+Supuestos!$B$17,ROUNDUP(K66*Supuestos!$B$18,0)+Supuestos!$B$19)</f>
        <v>3</v>
      </c>
      <c r="M66" s="6" t="n">
        <f aca="false">K66+L66</f>
        <v>138</v>
      </c>
      <c r="N66" s="33" t="n">
        <v>0.023</v>
      </c>
      <c r="O66" s="22" t="n">
        <v>66503</v>
      </c>
      <c r="P66" s="6" t="n">
        <f aca="false">SUMIF(BOM_V56!$B:$B,B66,BOM_V56!$M:$M)+SUMIF(BOM_V57!$B:$B,B66,BOM_V57!$M:$M)+SUMIF(BOM_v6!$B:$B,B66,BOM_v6!$M:$M)</f>
        <v>570</v>
      </c>
      <c r="Q66" s="2" t="str">
        <f aca="false">IF(P66&gt;O66,"SÍ","")</f>
        <v/>
      </c>
      <c r="R66" s="38" t="n">
        <f aca="false">N66*(1+IF(Q66="SÍ",Supuestos!$B$14,0))</f>
        <v>0.023</v>
      </c>
      <c r="S66" s="10" t="n">
        <f aca="false">M66*R66</f>
        <v>3.174</v>
      </c>
      <c r="T66" s="2"/>
      <c r="U66" s="2" t="s">
        <v>421</v>
      </c>
    </row>
    <row r="67" customFormat="false" ht="15" hidden="false" customHeight="false" outlineLevel="0" collapsed="false">
      <c r="A67" s="2" t="s">
        <v>481</v>
      </c>
      <c r="B67" s="2" t="s">
        <v>482</v>
      </c>
      <c r="C67" s="2" t="s">
        <v>483</v>
      </c>
      <c r="D67" s="2" t="s">
        <v>236</v>
      </c>
      <c r="E67" s="2" t="s">
        <v>316</v>
      </c>
      <c r="F67" s="2" t="s">
        <v>238</v>
      </c>
      <c r="G67" s="2" t="n">
        <v>0</v>
      </c>
      <c r="H67" s="2" t="n">
        <v>2</v>
      </c>
      <c r="I67" s="2" t="n">
        <v>0</v>
      </c>
      <c r="J67" s="35" t="n">
        <v>2</v>
      </c>
      <c r="K67" s="6" t="n">
        <f aca="false">J67*Supuestos!B$5</f>
        <v>270</v>
      </c>
      <c r="L67" s="6" t="n">
        <f aca="false">IF(OR(U67="Resistors",U67="Capacitors"),ROUNDUP(K67*Supuestos!$B$16,0)+Supuestos!$B$17,ROUNDUP(K67*Supuestos!$B$18,0)+Supuestos!$B$19)</f>
        <v>11</v>
      </c>
      <c r="M67" s="6" t="n">
        <f aca="false">K67+L67</f>
        <v>281</v>
      </c>
      <c r="N67" s="33" t="n">
        <v>0.0112</v>
      </c>
      <c r="O67" s="22" t="n">
        <v>637117</v>
      </c>
      <c r="P67" s="6" t="n">
        <f aca="false">SUMIF(BOM_V56!$B:$B,B67,BOM_V56!$M:$M)+SUMIF(BOM_V57!$B:$B,B67,BOM_V57!$M:$M)+SUMIF(BOM_v6!$B:$B,B67,BOM_v6!$M:$M)</f>
        <v>1159</v>
      </c>
      <c r="Q67" s="2" t="str">
        <f aca="false">IF(P67&gt;O67,"SÍ","")</f>
        <v/>
      </c>
      <c r="R67" s="38" t="n">
        <f aca="false">N67*(1+IF(Q67="SÍ",Supuestos!$B$14,0))</f>
        <v>0.0112</v>
      </c>
      <c r="S67" s="10" t="n">
        <f aca="false">M67*R67</f>
        <v>3.1472</v>
      </c>
      <c r="T67" s="2"/>
      <c r="U67" s="2" t="s">
        <v>239</v>
      </c>
    </row>
    <row r="68" customFormat="false" ht="15" hidden="false" customHeight="false" outlineLevel="0" collapsed="false">
      <c r="A68" s="2" t="s">
        <v>484</v>
      </c>
      <c r="B68" s="2" t="s">
        <v>485</v>
      </c>
      <c r="C68" s="2" t="s">
        <v>486</v>
      </c>
      <c r="D68" s="2" t="s">
        <v>236</v>
      </c>
      <c r="E68" s="2" t="s">
        <v>316</v>
      </c>
      <c r="F68" s="2" t="s">
        <v>238</v>
      </c>
      <c r="G68" s="2" t="n">
        <v>0</v>
      </c>
      <c r="H68" s="2" t="n">
        <v>2</v>
      </c>
      <c r="I68" s="2" t="n">
        <v>0</v>
      </c>
      <c r="J68" s="35" t="n">
        <v>2</v>
      </c>
      <c r="K68" s="6" t="n">
        <f aca="false">J68*Supuestos!B$5</f>
        <v>270</v>
      </c>
      <c r="L68" s="6" t="n">
        <f aca="false">IF(OR(U68="Resistors",U68="Capacitors"),ROUNDUP(K68*Supuestos!$B$16,0)+Supuestos!$B$17,ROUNDUP(K68*Supuestos!$B$18,0)+Supuestos!$B$19)</f>
        <v>11</v>
      </c>
      <c r="M68" s="6" t="n">
        <f aca="false">K68+L68</f>
        <v>281</v>
      </c>
      <c r="N68" s="33" t="n">
        <v>0.0111</v>
      </c>
      <c r="O68" s="22" t="n">
        <v>1119034</v>
      </c>
      <c r="P68" s="6" t="n">
        <f aca="false">SUMIF(BOM_V56!$B:$B,B68,BOM_V56!$M:$M)+SUMIF(BOM_V57!$B:$B,B68,BOM_V57!$M:$M)+SUMIF(BOM_v6!$B:$B,B68,BOM_v6!$M:$M)</f>
        <v>1031</v>
      </c>
      <c r="Q68" s="2" t="str">
        <f aca="false">IF(P68&gt;O68,"SÍ","")</f>
        <v/>
      </c>
      <c r="R68" s="38" t="n">
        <f aca="false">N68*(1+IF(Q68="SÍ",Supuestos!$B$14,0))</f>
        <v>0.0111</v>
      </c>
      <c r="S68" s="10" t="n">
        <f aca="false">M68*R68</f>
        <v>3.1191</v>
      </c>
      <c r="T68" s="2"/>
      <c r="U68" s="2" t="s">
        <v>239</v>
      </c>
    </row>
    <row r="69" customFormat="false" ht="15" hidden="false" customHeight="false" outlineLevel="0" collapsed="false">
      <c r="A69" s="2" t="s">
        <v>487</v>
      </c>
      <c r="B69" s="2" t="s">
        <v>488</v>
      </c>
      <c r="C69" s="2" t="s">
        <v>489</v>
      </c>
      <c r="D69" s="2" t="s">
        <v>490</v>
      </c>
      <c r="E69" s="2" t="s">
        <v>316</v>
      </c>
      <c r="F69" s="2" t="s">
        <v>238</v>
      </c>
      <c r="G69" s="2" t="n">
        <v>0</v>
      </c>
      <c r="H69" s="2" t="n">
        <v>2</v>
      </c>
      <c r="I69" s="2" t="n">
        <v>0</v>
      </c>
      <c r="J69" s="35" t="n">
        <v>2</v>
      </c>
      <c r="K69" s="6" t="n">
        <f aca="false">J69*Supuestos!B$5</f>
        <v>270</v>
      </c>
      <c r="L69" s="6" t="n">
        <f aca="false">IF(OR(U69="Resistors",U69="Capacitors"),ROUNDUP(K69*Supuestos!$B$16,0)+Supuestos!$B$17,ROUNDUP(K69*Supuestos!$B$18,0)+Supuestos!$B$19)</f>
        <v>11</v>
      </c>
      <c r="M69" s="6" t="n">
        <f aca="false">K69+L69</f>
        <v>281</v>
      </c>
      <c r="N69" s="33" t="n">
        <v>0.0109</v>
      </c>
      <c r="O69" s="22" t="n">
        <v>912227</v>
      </c>
      <c r="P69" s="6" t="n">
        <f aca="false">SUMIF(BOM_V56!$B:$B,B69,BOM_V56!$M:$M)+SUMIF(BOM_V57!$B:$B,B69,BOM_V57!$M:$M)+SUMIF(BOM_v6!$B:$B,B69,BOM_v6!$M:$M)</f>
        <v>726</v>
      </c>
      <c r="Q69" s="2" t="str">
        <f aca="false">IF(P69&gt;O69,"SÍ","")</f>
        <v/>
      </c>
      <c r="R69" s="38" t="n">
        <f aca="false">N69*(1+IF(Q69="SÍ",Supuestos!$B$14,0))</f>
        <v>0.0109</v>
      </c>
      <c r="S69" s="10" t="n">
        <f aca="false">M69*R69</f>
        <v>3.0629</v>
      </c>
      <c r="T69" s="2"/>
      <c r="U69" s="2" t="s">
        <v>239</v>
      </c>
    </row>
    <row r="70" customFormat="false" ht="15" hidden="false" customHeight="false" outlineLevel="0" collapsed="false">
      <c r="A70" s="2" t="s">
        <v>491</v>
      </c>
      <c r="B70" s="2" t="s">
        <v>492</v>
      </c>
      <c r="C70" s="2" t="s">
        <v>493</v>
      </c>
      <c r="D70" s="2" t="s">
        <v>490</v>
      </c>
      <c r="E70" s="2" t="s">
        <v>316</v>
      </c>
      <c r="F70" s="2" t="s">
        <v>238</v>
      </c>
      <c r="G70" s="2" t="n">
        <v>0</v>
      </c>
      <c r="H70" s="2" t="n">
        <v>2</v>
      </c>
      <c r="I70" s="2" t="n">
        <v>0</v>
      </c>
      <c r="J70" s="35" t="n">
        <v>4</v>
      </c>
      <c r="K70" s="6" t="n">
        <f aca="false">J70*Supuestos!B$5</f>
        <v>540</v>
      </c>
      <c r="L70" s="6" t="n">
        <f aca="false">IF(OR(U70="Resistors",U70="Capacitors"),ROUNDUP(K70*Supuestos!$B$16,0)+Supuestos!$B$17,ROUNDUP(K70*Supuestos!$B$18,0)+Supuestos!$B$19)</f>
        <v>16</v>
      </c>
      <c r="M70" s="6" t="n">
        <f aca="false">K70+L70</f>
        <v>556</v>
      </c>
      <c r="N70" s="33" t="n">
        <v>0.0047</v>
      </c>
      <c r="O70" s="22" t="n">
        <v>5971244</v>
      </c>
      <c r="P70" s="6" t="n">
        <f aca="false">SUMIF(BOM_V56!$B:$B,B70,BOM_V56!$M:$M)+SUMIF(BOM_V57!$B:$B,B70,BOM_V57!$M:$M)+SUMIF(BOM_v6!$B:$B,B70,BOM_v6!$M:$M)</f>
        <v>1678</v>
      </c>
      <c r="Q70" s="2" t="str">
        <f aca="false">IF(P70&gt;O70,"SÍ","")</f>
        <v/>
      </c>
      <c r="R70" s="38" t="n">
        <f aca="false">N70*(1+IF(Q70="SÍ",Supuestos!$B$14,0))</f>
        <v>0.0047</v>
      </c>
      <c r="S70" s="10" t="n">
        <f aca="false">M70*R70</f>
        <v>2.6132</v>
      </c>
      <c r="T70" s="2"/>
      <c r="U70" s="2" t="s">
        <v>239</v>
      </c>
    </row>
    <row r="71" customFormat="false" ht="15" hidden="false" customHeight="false" outlineLevel="0" collapsed="false">
      <c r="A71" s="2" t="s">
        <v>494</v>
      </c>
      <c r="B71" s="2" t="s">
        <v>495</v>
      </c>
      <c r="C71" s="2" t="s">
        <v>496</v>
      </c>
      <c r="D71" s="2" t="s">
        <v>236</v>
      </c>
      <c r="E71" s="2" t="s">
        <v>316</v>
      </c>
      <c r="F71" s="2" t="s">
        <v>197</v>
      </c>
      <c r="G71" s="2" t="n">
        <v>0</v>
      </c>
      <c r="H71" s="2" t="n">
        <v>2</v>
      </c>
      <c r="I71" s="2" t="n">
        <v>0</v>
      </c>
      <c r="J71" s="35" t="n">
        <v>1</v>
      </c>
      <c r="K71" s="6" t="n">
        <f aca="false">J71*Supuestos!B$5</f>
        <v>135</v>
      </c>
      <c r="L71" s="6" t="n">
        <f aca="false">IF(OR(U71="Resistors",U71="Capacitors"),ROUNDUP(K71*Supuestos!$B$16,0)+Supuestos!$B$17,ROUNDUP(K71*Supuestos!$B$18,0)+Supuestos!$B$19)</f>
        <v>8</v>
      </c>
      <c r="M71" s="6" t="n">
        <f aca="false">K71+L71</f>
        <v>143</v>
      </c>
      <c r="N71" s="33" t="n">
        <v>0.0155</v>
      </c>
      <c r="O71" s="22" t="n">
        <v>132824</v>
      </c>
      <c r="P71" s="6" t="n">
        <f aca="false">SUMIF(BOM_V56!$B:$B,B71,BOM_V56!$M:$M)+SUMIF(BOM_V57!$B:$B,B71,BOM_V57!$M:$M)+SUMIF(BOM_v6!$B:$B,B71,BOM_v6!$M:$M)</f>
        <v>521</v>
      </c>
      <c r="Q71" s="2" t="str">
        <f aca="false">IF(P71&gt;O71,"SÍ","")</f>
        <v/>
      </c>
      <c r="R71" s="38" t="n">
        <f aca="false">N71*(1+IF(Q71="SÍ",Supuestos!$B$14,0))</f>
        <v>0.0155</v>
      </c>
      <c r="S71" s="10" t="n">
        <f aca="false">M71*R71</f>
        <v>2.2165</v>
      </c>
      <c r="T71" s="2"/>
      <c r="U71" s="2" t="s">
        <v>239</v>
      </c>
    </row>
    <row r="72" customFormat="false" ht="15" hidden="false" customHeight="false" outlineLevel="0" collapsed="false">
      <c r="A72" s="2" t="s">
        <v>497</v>
      </c>
      <c r="B72" s="2" t="s">
        <v>498</v>
      </c>
      <c r="C72" s="2" t="s">
        <v>499</v>
      </c>
      <c r="D72" s="2" t="s">
        <v>236</v>
      </c>
      <c r="E72" s="2" t="s">
        <v>316</v>
      </c>
      <c r="F72" s="2" t="s">
        <v>238</v>
      </c>
      <c r="G72" s="2" t="n">
        <v>0</v>
      </c>
      <c r="H72" s="2" t="n">
        <v>2</v>
      </c>
      <c r="I72" s="2" t="n">
        <v>0</v>
      </c>
      <c r="J72" s="35" t="n">
        <v>2</v>
      </c>
      <c r="K72" s="6" t="n">
        <f aca="false">J72*Supuestos!B$5</f>
        <v>270</v>
      </c>
      <c r="L72" s="6" t="n">
        <f aca="false">IF(OR(U72="Resistors",U72="Capacitors"),ROUNDUP(K72*Supuestos!$B$16,0)+Supuestos!$B$17,ROUNDUP(K72*Supuestos!$B$18,0)+Supuestos!$B$19)</f>
        <v>11</v>
      </c>
      <c r="M72" s="6" t="n">
        <f aca="false">K72+L72</f>
        <v>281</v>
      </c>
      <c r="N72" s="33" t="n">
        <v>0.0077</v>
      </c>
      <c r="O72" s="22" t="n">
        <v>1974651</v>
      </c>
      <c r="P72" s="6" t="n">
        <f aca="false">SUMIF(BOM_V56!$B:$B,B72,BOM_V56!$M:$M)+SUMIF(BOM_V57!$B:$B,B72,BOM_V57!$M:$M)+SUMIF(BOM_v6!$B:$B,B72,BOM_v6!$M:$M)</f>
        <v>1159</v>
      </c>
      <c r="Q72" s="2" t="str">
        <f aca="false">IF(P72&gt;O72,"SÍ","")</f>
        <v/>
      </c>
      <c r="R72" s="38" t="n">
        <f aca="false">N72*(1+IF(Q72="SÍ",Supuestos!$B$14,0))</f>
        <v>0.0077</v>
      </c>
      <c r="S72" s="10" t="n">
        <f aca="false">M72*R72</f>
        <v>2.1637</v>
      </c>
      <c r="T72" s="2"/>
      <c r="U72" s="2" t="s">
        <v>239</v>
      </c>
    </row>
    <row r="73" customFormat="false" ht="15" hidden="false" customHeight="false" outlineLevel="0" collapsed="false">
      <c r="A73" s="2" t="s">
        <v>500</v>
      </c>
      <c r="B73" s="2" t="s">
        <v>501</v>
      </c>
      <c r="C73" s="2" t="s">
        <v>502</v>
      </c>
      <c r="D73" s="2" t="s">
        <v>236</v>
      </c>
      <c r="E73" s="2" t="s">
        <v>316</v>
      </c>
      <c r="F73" s="2" t="s">
        <v>238</v>
      </c>
      <c r="G73" s="2" t="n">
        <v>0</v>
      </c>
      <c r="H73" s="2" t="n">
        <v>2</v>
      </c>
      <c r="I73" s="2" t="n">
        <v>0</v>
      </c>
      <c r="J73" s="35" t="n">
        <v>1</v>
      </c>
      <c r="K73" s="6" t="n">
        <f aca="false">J73*Supuestos!B$5</f>
        <v>135</v>
      </c>
      <c r="L73" s="6" t="n">
        <f aca="false">IF(OR(U73="Resistors",U73="Capacitors"),ROUNDUP(K73*Supuestos!$B$16,0)+Supuestos!$B$17,ROUNDUP(K73*Supuestos!$B$18,0)+Supuestos!$B$19)</f>
        <v>8</v>
      </c>
      <c r="M73" s="6" t="n">
        <f aca="false">K73+L73</f>
        <v>143</v>
      </c>
      <c r="N73" s="33" t="n">
        <v>0.0146</v>
      </c>
      <c r="O73" s="22" t="n">
        <v>13331625</v>
      </c>
      <c r="P73" s="6" t="n">
        <f aca="false">SUMIF(BOM_V56!$B:$B,B73,BOM_V56!$M:$M)+SUMIF(BOM_V57!$B:$B,B73,BOM_V57!$M:$M)+SUMIF(BOM_v6!$B:$B,B73,BOM_v6!$M:$M)</f>
        <v>710</v>
      </c>
      <c r="Q73" s="2" t="str">
        <f aca="false">IF(P73&gt;O73,"SÍ","")</f>
        <v/>
      </c>
      <c r="R73" s="38" t="n">
        <f aca="false">N73*(1+IF(Q73="SÍ",Supuestos!$B$14,0))</f>
        <v>0.0146</v>
      </c>
      <c r="S73" s="10" t="n">
        <f aca="false">M73*R73</f>
        <v>2.0878</v>
      </c>
      <c r="T73" s="2"/>
      <c r="U73" s="2" t="s">
        <v>239</v>
      </c>
    </row>
    <row r="74" customFormat="false" ht="15" hidden="false" customHeight="false" outlineLevel="0" collapsed="false">
      <c r="A74" s="2" t="s">
        <v>503</v>
      </c>
      <c r="B74" s="2" t="s">
        <v>504</v>
      </c>
      <c r="C74" s="2" t="s">
        <v>505</v>
      </c>
      <c r="D74" s="2" t="s">
        <v>448</v>
      </c>
      <c r="E74" s="2" t="s">
        <v>316</v>
      </c>
      <c r="F74" s="2" t="s">
        <v>238</v>
      </c>
      <c r="G74" s="2" t="n">
        <v>0</v>
      </c>
      <c r="H74" s="2" t="n">
        <v>2</v>
      </c>
      <c r="I74" s="2" t="n">
        <v>0</v>
      </c>
      <c r="J74" s="35" t="n">
        <v>9</v>
      </c>
      <c r="K74" s="6" t="n">
        <f aca="false">J74*Supuestos!B$5</f>
        <v>1215</v>
      </c>
      <c r="L74" s="6" t="n">
        <f aca="false">IF(OR(U74="Resistors",U74="Capacitors"),ROUNDUP(K74*Supuestos!$B$16,0)+Supuestos!$B$17,ROUNDUP(K74*Supuestos!$B$18,0)+Supuestos!$B$19)</f>
        <v>30</v>
      </c>
      <c r="M74" s="6" t="n">
        <f aca="false">K74+L74</f>
        <v>1245</v>
      </c>
      <c r="N74" s="33" t="n">
        <v>0.0015</v>
      </c>
      <c r="O74" s="22" t="n">
        <v>2349853</v>
      </c>
      <c r="P74" s="6" t="n">
        <f aca="false">SUMIF(BOM_V56!$B:$B,B74,BOM_V56!$M:$M)+SUMIF(BOM_V57!$B:$B,B74,BOM_V57!$M:$M)+SUMIF(BOM_v6!$B:$B,B74,BOM_v6!$M:$M)</f>
        <v>5157</v>
      </c>
      <c r="Q74" s="2" t="str">
        <f aca="false">IF(P74&gt;O74,"SÍ","")</f>
        <v/>
      </c>
      <c r="R74" s="38" t="n">
        <f aca="false">N74*(1+IF(Q74="SÍ",Supuestos!$B$14,0))</f>
        <v>0.0015</v>
      </c>
      <c r="S74" s="10" t="n">
        <f aca="false">M74*R74</f>
        <v>1.8675</v>
      </c>
      <c r="T74" s="2"/>
      <c r="U74" s="2" t="s">
        <v>437</v>
      </c>
    </row>
    <row r="75" customFormat="false" ht="15" hidden="false" customHeight="false" outlineLevel="0" collapsed="false">
      <c r="A75" s="2" t="s">
        <v>506</v>
      </c>
      <c r="B75" s="2" t="s">
        <v>507</v>
      </c>
      <c r="C75" s="2" t="s">
        <v>508</v>
      </c>
      <c r="D75" s="2" t="s">
        <v>448</v>
      </c>
      <c r="E75" s="2" t="s">
        <v>316</v>
      </c>
      <c r="F75" s="2" t="s">
        <v>238</v>
      </c>
      <c r="G75" s="2" t="n">
        <v>0</v>
      </c>
      <c r="H75" s="2" t="n">
        <v>2</v>
      </c>
      <c r="I75" s="2" t="n">
        <v>0</v>
      </c>
      <c r="J75" s="35" t="n">
        <v>3</v>
      </c>
      <c r="K75" s="6" t="n">
        <f aca="false">J75*Supuestos!B$5</f>
        <v>405</v>
      </c>
      <c r="L75" s="6" t="n">
        <f aca="false">IF(OR(U75="Resistors",U75="Capacitors"),ROUNDUP(K75*Supuestos!$B$16,0)+Supuestos!$B$17,ROUNDUP(K75*Supuestos!$B$18,0)+Supuestos!$B$19)</f>
        <v>14</v>
      </c>
      <c r="M75" s="6" t="n">
        <f aca="false">K75+L75</f>
        <v>419</v>
      </c>
      <c r="N75" s="33" t="n">
        <v>0.0042</v>
      </c>
      <c r="O75" s="22" t="n">
        <v>3146807</v>
      </c>
      <c r="P75" s="6" t="n">
        <f aca="false">SUMIF(BOM_V56!$B:$B,B75,BOM_V56!$M:$M)+SUMIF(BOM_V57!$B:$B,B75,BOM_V57!$M:$M)+SUMIF(BOM_v6!$B:$B,B75,BOM_v6!$M:$M)</f>
        <v>1541</v>
      </c>
      <c r="Q75" s="2" t="str">
        <f aca="false">IF(P75&gt;O75,"SÍ","")</f>
        <v/>
      </c>
      <c r="R75" s="38" t="n">
        <f aca="false">N75*(1+IF(Q75="SÍ",Supuestos!$B$14,0))</f>
        <v>0.0042</v>
      </c>
      <c r="S75" s="10" t="n">
        <f aca="false">M75*R75</f>
        <v>1.7598</v>
      </c>
      <c r="T75" s="2"/>
      <c r="U75" s="2" t="s">
        <v>437</v>
      </c>
    </row>
    <row r="76" customFormat="false" ht="15" hidden="false" customHeight="false" outlineLevel="0" collapsed="false">
      <c r="A76" s="2" t="s">
        <v>509</v>
      </c>
      <c r="B76" s="2" t="s">
        <v>510</v>
      </c>
      <c r="C76" s="2" t="s">
        <v>511</v>
      </c>
      <c r="D76" s="2" t="s">
        <v>236</v>
      </c>
      <c r="E76" s="2" t="s">
        <v>316</v>
      </c>
      <c r="F76" s="2" t="s">
        <v>238</v>
      </c>
      <c r="G76" s="2" t="n">
        <v>0</v>
      </c>
      <c r="H76" s="2" t="n">
        <v>2</v>
      </c>
      <c r="I76" s="2" t="n">
        <v>0</v>
      </c>
      <c r="J76" s="35" t="n">
        <v>1</v>
      </c>
      <c r="K76" s="6" t="n">
        <f aca="false">J76*Supuestos!B$5</f>
        <v>135</v>
      </c>
      <c r="L76" s="6" t="n">
        <f aca="false">IF(OR(U76="Resistors",U76="Capacitors"),ROUNDUP(K76*Supuestos!$B$16,0)+Supuestos!$B$17,ROUNDUP(K76*Supuestos!$B$18,0)+Supuestos!$B$19)</f>
        <v>8</v>
      </c>
      <c r="M76" s="6" t="n">
        <f aca="false">K76+L76</f>
        <v>143</v>
      </c>
      <c r="N76" s="33" t="n">
        <v>0.0125</v>
      </c>
      <c r="O76" s="22" t="n">
        <v>3098644</v>
      </c>
      <c r="P76" s="6" t="n">
        <f aca="false">SUMIF(BOM_V56!$B:$B,B76,BOM_V56!$M:$M)+SUMIF(BOM_V57!$B:$B,B76,BOM_V57!$M:$M)+SUMIF(BOM_v6!$B:$B,B76,BOM_v6!$M:$M)</f>
        <v>649</v>
      </c>
      <c r="Q76" s="2" t="str">
        <f aca="false">IF(P76&gt;O76,"SÍ","")</f>
        <v/>
      </c>
      <c r="R76" s="38" t="n">
        <f aca="false">N76*(1+IF(Q76="SÍ",Supuestos!$B$14,0))</f>
        <v>0.0125</v>
      </c>
      <c r="S76" s="10" t="n">
        <f aca="false">M76*R76</f>
        <v>1.7875</v>
      </c>
      <c r="T76" s="2"/>
      <c r="U76" s="2" t="s">
        <v>239</v>
      </c>
    </row>
    <row r="77" customFormat="false" ht="15" hidden="false" customHeight="false" outlineLevel="0" collapsed="false">
      <c r="A77" s="2" t="s">
        <v>512</v>
      </c>
      <c r="B77" s="2" t="s">
        <v>513</v>
      </c>
      <c r="C77" s="2" t="s">
        <v>514</v>
      </c>
      <c r="D77" s="2" t="s">
        <v>515</v>
      </c>
      <c r="E77" s="2" t="s">
        <v>456</v>
      </c>
      <c r="F77" s="2" t="s">
        <v>238</v>
      </c>
      <c r="G77" s="2" t="n">
        <v>0</v>
      </c>
      <c r="H77" s="2" t="n">
        <v>2</v>
      </c>
      <c r="I77" s="2" t="n">
        <v>0</v>
      </c>
      <c r="J77" s="35" t="n">
        <v>1</v>
      </c>
      <c r="K77" s="6" t="n">
        <f aca="false">J77*Supuestos!B$5</f>
        <v>135</v>
      </c>
      <c r="L77" s="6" t="n">
        <f aca="false">IF(OR(U77="Resistors",U77="Capacitors"),ROUNDUP(K77*Supuestos!$B$16,0)+Supuestos!$B$17,ROUNDUP(K77*Supuestos!$B$18,0)+Supuestos!$B$19)</f>
        <v>3</v>
      </c>
      <c r="M77" s="6" t="n">
        <f aca="false">K77+L77</f>
        <v>138</v>
      </c>
      <c r="N77" s="33" t="n">
        <v>0.0124</v>
      </c>
      <c r="O77" s="22" t="n">
        <v>4051780</v>
      </c>
      <c r="P77" s="6" t="n">
        <f aca="false">SUMIF(BOM_V56!$B:$B,B77,BOM_V56!$M:$M)+SUMIF(BOM_V57!$B:$B,B77,BOM_V57!$M:$M)+SUMIF(BOM_v6!$B:$B,B77,BOM_v6!$M:$M)</f>
        <v>508</v>
      </c>
      <c r="Q77" s="2" t="str">
        <f aca="false">IF(P77&gt;O77,"SÍ","")</f>
        <v/>
      </c>
      <c r="R77" s="38" t="n">
        <f aca="false">N77*(1+IF(Q77="SÍ",Supuestos!$B$14,0))</f>
        <v>0.0124</v>
      </c>
      <c r="S77" s="10" t="n">
        <f aca="false">M77*R77</f>
        <v>1.7112</v>
      </c>
      <c r="T77" s="2"/>
      <c r="U77" s="2" t="s">
        <v>385</v>
      </c>
    </row>
    <row r="78" customFormat="false" ht="15" hidden="false" customHeight="false" outlineLevel="0" collapsed="false">
      <c r="A78" s="2" t="s">
        <v>516</v>
      </c>
      <c r="B78" s="2" t="s">
        <v>517</v>
      </c>
      <c r="C78" s="2" t="s">
        <v>518</v>
      </c>
      <c r="D78" s="2" t="s">
        <v>236</v>
      </c>
      <c r="E78" s="2" t="s">
        <v>237</v>
      </c>
      <c r="F78" s="2" t="s">
        <v>238</v>
      </c>
      <c r="G78" s="2" t="n">
        <v>0</v>
      </c>
      <c r="H78" s="2" t="n">
        <v>2</v>
      </c>
      <c r="I78" s="2" t="n">
        <v>0</v>
      </c>
      <c r="J78" s="35" t="n">
        <v>1</v>
      </c>
      <c r="K78" s="6" t="n">
        <f aca="false">J78*Supuestos!B$5</f>
        <v>135</v>
      </c>
      <c r="L78" s="6" t="n">
        <f aca="false">IF(OR(U78="Resistors",U78="Capacitors"),ROUNDUP(K78*Supuestos!$B$16,0)+Supuestos!$B$17,ROUNDUP(K78*Supuestos!$B$18,0)+Supuestos!$B$19)</f>
        <v>8</v>
      </c>
      <c r="M78" s="6" t="n">
        <f aca="false">K78+L78</f>
        <v>143</v>
      </c>
      <c r="N78" s="33" t="n">
        <v>0.0122</v>
      </c>
      <c r="O78" s="22" t="n">
        <v>1381792</v>
      </c>
      <c r="P78" s="6" t="n">
        <f aca="false">SUMIF(BOM_V56!$B:$B,B78,BOM_V56!$M:$M)+SUMIF(BOM_V57!$B:$B,B78,BOM_V57!$M:$M)+SUMIF(BOM_v6!$B:$B,B78,BOM_v6!$M:$M)</f>
        <v>521</v>
      </c>
      <c r="Q78" s="2" t="str">
        <f aca="false">IF(P78&gt;O78,"SÍ","")</f>
        <v/>
      </c>
      <c r="R78" s="38" t="n">
        <f aca="false">N78*(1+IF(Q78="SÍ",Supuestos!$B$14,0))</f>
        <v>0.0122</v>
      </c>
      <c r="S78" s="10" t="n">
        <f aca="false">M78*R78</f>
        <v>1.7446</v>
      </c>
      <c r="T78" s="2"/>
      <c r="U78" s="2" t="s">
        <v>239</v>
      </c>
    </row>
    <row r="79" customFormat="false" ht="15" hidden="false" customHeight="false" outlineLevel="0" collapsed="false">
      <c r="A79" s="2" t="s">
        <v>519</v>
      </c>
      <c r="B79" s="2" t="s">
        <v>520</v>
      </c>
      <c r="C79" s="2" t="s">
        <v>521</v>
      </c>
      <c r="D79" s="2" t="s">
        <v>448</v>
      </c>
      <c r="E79" s="2" t="s">
        <v>316</v>
      </c>
      <c r="F79" s="2" t="s">
        <v>238</v>
      </c>
      <c r="G79" s="2" t="n">
        <v>0</v>
      </c>
      <c r="H79" s="2" t="n">
        <v>2</v>
      </c>
      <c r="I79" s="2" t="n">
        <v>0</v>
      </c>
      <c r="J79" s="35" t="n">
        <v>7</v>
      </c>
      <c r="K79" s="6" t="n">
        <f aca="false">J79*Supuestos!B$5</f>
        <v>945</v>
      </c>
      <c r="L79" s="6" t="n">
        <f aca="false">IF(OR(U79="Resistors",U79="Capacitors"),ROUNDUP(K79*Supuestos!$B$16,0)+Supuestos!$B$17,ROUNDUP(K79*Supuestos!$B$18,0)+Supuestos!$B$19)</f>
        <v>24</v>
      </c>
      <c r="M79" s="6" t="n">
        <f aca="false">K79+L79</f>
        <v>969</v>
      </c>
      <c r="N79" s="33" t="n">
        <v>0.0017</v>
      </c>
      <c r="O79" s="22" t="n">
        <v>34221641</v>
      </c>
      <c r="P79" s="6" t="n">
        <f aca="false">SUMIF(BOM_V56!$B:$B,B79,BOM_V56!$M:$M)+SUMIF(BOM_V57!$B:$B,B79,BOM_V57!$M:$M)+SUMIF(BOM_v6!$B:$B,B79,BOM_v6!$M:$M)</f>
        <v>3648</v>
      </c>
      <c r="Q79" s="2" t="str">
        <f aca="false">IF(P79&gt;O79,"SÍ","")</f>
        <v/>
      </c>
      <c r="R79" s="38" t="n">
        <f aca="false">N79*(1+IF(Q79="SÍ",Supuestos!$B$14,0))</f>
        <v>0.0017</v>
      </c>
      <c r="S79" s="10" t="n">
        <f aca="false">M79*R79</f>
        <v>1.6473</v>
      </c>
      <c r="T79" s="2"/>
      <c r="U79" s="2" t="s">
        <v>437</v>
      </c>
    </row>
    <row r="80" customFormat="false" ht="15" hidden="false" customHeight="false" outlineLevel="0" collapsed="false">
      <c r="A80" s="2" t="s">
        <v>522</v>
      </c>
      <c r="B80" s="2" t="s">
        <v>523</v>
      </c>
      <c r="C80" s="2" t="s">
        <v>524</v>
      </c>
      <c r="D80" s="2" t="s">
        <v>448</v>
      </c>
      <c r="E80" s="2" t="s">
        <v>316</v>
      </c>
      <c r="F80" s="2" t="s">
        <v>238</v>
      </c>
      <c r="G80" s="2" t="n">
        <v>0</v>
      </c>
      <c r="H80" s="2" t="n">
        <v>2</v>
      </c>
      <c r="I80" s="2" t="n">
        <v>0</v>
      </c>
      <c r="J80" s="35" t="n">
        <v>4</v>
      </c>
      <c r="K80" s="6" t="n">
        <f aca="false">J80*Supuestos!B$5</f>
        <v>540</v>
      </c>
      <c r="L80" s="6" t="n">
        <f aca="false">IF(OR(U80="Resistors",U80="Capacitors"),ROUNDUP(K80*Supuestos!$B$16,0)+Supuestos!$B$17,ROUNDUP(K80*Supuestos!$B$18,0)+Supuestos!$B$19)</f>
        <v>16</v>
      </c>
      <c r="M80" s="6" t="n">
        <f aca="false">K80+L80</f>
        <v>556</v>
      </c>
      <c r="N80" s="33" t="n">
        <v>0.0021</v>
      </c>
      <c r="O80" s="22" t="n">
        <v>1633090</v>
      </c>
      <c r="P80" s="6" t="n">
        <f aca="false">SUMIF(BOM_V56!$B:$B,B80,BOM_V56!$M:$M)+SUMIF(BOM_V57!$B:$B,B80,BOM_V57!$M:$M)+SUMIF(BOM_v6!$B:$B,B80,BOM_v6!$M:$M)</f>
        <v>2051</v>
      </c>
      <c r="Q80" s="2" t="str">
        <f aca="false">IF(P80&gt;O80,"SÍ","")</f>
        <v/>
      </c>
      <c r="R80" s="38" t="n">
        <f aca="false">N80*(1+IF(Q80="SÍ",Supuestos!$B$14,0))</f>
        <v>0.0021</v>
      </c>
      <c r="S80" s="10" t="n">
        <f aca="false">M80*R80</f>
        <v>1.1676</v>
      </c>
      <c r="T80" s="2"/>
      <c r="U80" s="2" t="s">
        <v>437</v>
      </c>
    </row>
    <row r="81" customFormat="false" ht="15" hidden="false" customHeight="false" outlineLevel="0" collapsed="false">
      <c r="A81" s="2" t="s">
        <v>525</v>
      </c>
      <c r="B81" s="2" t="s">
        <v>526</v>
      </c>
      <c r="C81" s="2" t="s">
        <v>527</v>
      </c>
      <c r="D81" s="2" t="s">
        <v>448</v>
      </c>
      <c r="E81" s="2" t="s">
        <v>316</v>
      </c>
      <c r="F81" s="2" t="s">
        <v>238</v>
      </c>
      <c r="G81" s="2" t="n">
        <v>0</v>
      </c>
      <c r="H81" s="2" t="n">
        <v>2</v>
      </c>
      <c r="I81" s="2" t="n">
        <v>0</v>
      </c>
      <c r="J81" s="35" t="n">
        <v>3</v>
      </c>
      <c r="K81" s="6" t="n">
        <f aca="false">J81*Supuestos!B$5</f>
        <v>405</v>
      </c>
      <c r="L81" s="6" t="n">
        <f aca="false">IF(OR(U81="Resistors",U81="Capacitors"),ROUNDUP(K81*Supuestos!$B$16,0)+Supuestos!$B$17,ROUNDUP(K81*Supuestos!$B$18,0)+Supuestos!$B$19)</f>
        <v>14</v>
      </c>
      <c r="M81" s="6" t="n">
        <f aca="false">K81+L81</f>
        <v>419</v>
      </c>
      <c r="N81" s="33" t="n">
        <v>0.0028</v>
      </c>
      <c r="O81" s="22" t="n">
        <v>16750308</v>
      </c>
      <c r="P81" s="6" t="n">
        <f aca="false">SUMIF(BOM_V56!$B:$B,B81,BOM_V56!$M:$M)+SUMIF(BOM_V57!$B:$B,B81,BOM_V57!$M:$M)+SUMIF(BOM_v6!$B:$B,B81,BOM_v6!$M:$M)</f>
        <v>1791</v>
      </c>
      <c r="Q81" s="2" t="str">
        <f aca="false">IF(P81&gt;O81,"SÍ","")</f>
        <v/>
      </c>
      <c r="R81" s="38" t="n">
        <f aca="false">N81*(1+IF(Q81="SÍ",Supuestos!$B$14,0))</f>
        <v>0.0028</v>
      </c>
      <c r="S81" s="10" t="n">
        <f aca="false">M81*R81</f>
        <v>1.1732</v>
      </c>
      <c r="T81" s="2"/>
      <c r="U81" s="2" t="s">
        <v>437</v>
      </c>
    </row>
    <row r="82" customFormat="false" ht="15" hidden="false" customHeight="false" outlineLevel="0" collapsed="false">
      <c r="A82" s="2" t="s">
        <v>528</v>
      </c>
      <c r="B82" s="2" t="s">
        <v>529</v>
      </c>
      <c r="C82" s="2" t="s">
        <v>530</v>
      </c>
      <c r="D82" s="2" t="s">
        <v>448</v>
      </c>
      <c r="E82" s="2" t="s">
        <v>316</v>
      </c>
      <c r="F82" s="2" t="s">
        <v>238</v>
      </c>
      <c r="G82" s="2" t="n">
        <v>0</v>
      </c>
      <c r="H82" s="2" t="n">
        <v>2</v>
      </c>
      <c r="I82" s="2" t="n">
        <v>0</v>
      </c>
      <c r="J82" s="35" t="n">
        <v>4</v>
      </c>
      <c r="K82" s="6" t="n">
        <f aca="false">J82*Supuestos!B$5</f>
        <v>540</v>
      </c>
      <c r="L82" s="6" t="n">
        <f aca="false">IF(OR(U82="Resistors",U82="Capacitors"),ROUNDUP(K82*Supuestos!$B$16,0)+Supuestos!$B$17,ROUNDUP(K82*Supuestos!$B$18,0)+Supuestos!$B$19)</f>
        <v>16</v>
      </c>
      <c r="M82" s="6" t="n">
        <f aca="false">K82+L82</f>
        <v>556</v>
      </c>
      <c r="N82" s="33" t="n">
        <v>0.0015</v>
      </c>
      <c r="O82" s="22" t="n">
        <v>21973466</v>
      </c>
      <c r="P82" s="6" t="n">
        <f aca="false">SUMIF(BOM_V56!$B:$B,B82,BOM_V56!$M:$M)+SUMIF(BOM_V57!$B:$B,B82,BOM_V57!$M:$M)+SUMIF(BOM_v6!$B:$B,B82,BOM_v6!$M:$M)</f>
        <v>2301</v>
      </c>
      <c r="Q82" s="2" t="str">
        <f aca="false">IF(P82&gt;O82,"SÍ","")</f>
        <v/>
      </c>
      <c r="R82" s="38" t="n">
        <f aca="false">N82*(1+IF(Q82="SÍ",Supuestos!$B$14,0))</f>
        <v>0.0015</v>
      </c>
      <c r="S82" s="10" t="n">
        <f aca="false">M82*R82</f>
        <v>0.834</v>
      </c>
      <c r="T82" s="2"/>
      <c r="U82" s="2" t="s">
        <v>437</v>
      </c>
    </row>
    <row r="83" customFormat="false" ht="15" hidden="false" customHeight="false" outlineLevel="0" collapsed="false">
      <c r="A83" s="2" t="s">
        <v>531</v>
      </c>
      <c r="B83" s="2" t="s">
        <v>532</v>
      </c>
      <c r="C83" s="2" t="s">
        <v>533</v>
      </c>
      <c r="D83" s="2" t="s">
        <v>490</v>
      </c>
      <c r="E83" s="2" t="s">
        <v>316</v>
      </c>
      <c r="F83" s="2" t="s">
        <v>238</v>
      </c>
      <c r="G83" s="2" t="n">
        <v>0</v>
      </c>
      <c r="H83" s="2" t="n">
        <v>2</v>
      </c>
      <c r="I83" s="2" t="n">
        <v>0</v>
      </c>
      <c r="J83" s="35" t="n">
        <v>1</v>
      </c>
      <c r="K83" s="6" t="n">
        <f aca="false">J83*Supuestos!B$5</f>
        <v>135</v>
      </c>
      <c r="L83" s="6" t="n">
        <f aca="false">IF(OR(U83="Resistors",U83="Capacitors"),ROUNDUP(K83*Supuestos!$B$16,0)+Supuestos!$B$17,ROUNDUP(K83*Supuestos!$B$18,0)+Supuestos!$B$19)</f>
        <v>8</v>
      </c>
      <c r="M83" s="6" t="n">
        <f aca="false">K83+L83</f>
        <v>143</v>
      </c>
      <c r="N83" s="33" t="n">
        <v>0.0055</v>
      </c>
      <c r="O83" s="22" t="n">
        <v>364810</v>
      </c>
      <c r="P83" s="6" t="n">
        <f aca="false">SUMIF(BOM_V56!$B:$B,B83,BOM_V56!$M:$M)+SUMIF(BOM_V57!$B:$B,B83,BOM_V57!$M:$M)+SUMIF(BOM_v6!$B:$B,B83,BOM_v6!$M:$M)</f>
        <v>588</v>
      </c>
      <c r="Q83" s="2" t="str">
        <f aca="false">IF(P83&gt;O83,"SÍ","")</f>
        <v/>
      </c>
      <c r="R83" s="38" t="n">
        <f aca="false">N83*(1+IF(Q83="SÍ",Supuestos!$B$14,0))</f>
        <v>0.0055</v>
      </c>
      <c r="S83" s="10" t="n">
        <f aca="false">M83*R83</f>
        <v>0.7865</v>
      </c>
      <c r="T83" s="2"/>
      <c r="U83" s="2" t="s">
        <v>239</v>
      </c>
    </row>
    <row r="84" customFormat="false" ht="15" hidden="false" customHeight="false" outlineLevel="0" collapsed="false">
      <c r="A84" s="2" t="s">
        <v>534</v>
      </c>
      <c r="B84" s="2" t="s">
        <v>535</v>
      </c>
      <c r="C84" s="2" t="s">
        <v>536</v>
      </c>
      <c r="D84" s="2" t="s">
        <v>448</v>
      </c>
      <c r="E84" s="2" t="s">
        <v>316</v>
      </c>
      <c r="F84" s="2" t="s">
        <v>197</v>
      </c>
      <c r="G84" s="2" t="n">
        <v>0</v>
      </c>
      <c r="H84" s="2" t="n">
        <v>2</v>
      </c>
      <c r="I84" s="2" t="n">
        <v>0</v>
      </c>
      <c r="J84" s="35" t="n">
        <v>2</v>
      </c>
      <c r="K84" s="6" t="n">
        <f aca="false">J84*Supuestos!B$5</f>
        <v>270</v>
      </c>
      <c r="L84" s="6" t="n">
        <f aca="false">IF(OR(U84="Resistors",U84="Capacitors"),ROUNDUP(K84*Supuestos!$B$16,0)+Supuestos!$B$17,ROUNDUP(K84*Supuestos!$B$18,0)+Supuestos!$B$19)</f>
        <v>11</v>
      </c>
      <c r="M84" s="6" t="n">
        <f aca="false">K84+L84</f>
        <v>281</v>
      </c>
      <c r="N84" s="33" t="n">
        <v>0.0021</v>
      </c>
      <c r="O84" s="22" t="n">
        <v>179285</v>
      </c>
      <c r="P84" s="6" t="n">
        <f aca="false">SUMIF(BOM_V56!$B:$B,B84,BOM_V56!$M:$M)+SUMIF(BOM_V57!$B:$B,B84,BOM_V57!$M:$M)+SUMIF(BOM_v6!$B:$B,B84,BOM_v6!$M:$M)</f>
        <v>659</v>
      </c>
      <c r="Q84" s="2" t="str">
        <f aca="false">IF(P84&gt;O84,"SÍ","")</f>
        <v/>
      </c>
      <c r="R84" s="38" t="n">
        <f aca="false">N84*(1+IF(Q84="SÍ",Supuestos!$B$14,0))</f>
        <v>0.0021</v>
      </c>
      <c r="S84" s="10" t="n">
        <f aca="false">M84*R84</f>
        <v>0.5901</v>
      </c>
      <c r="T84" s="2"/>
      <c r="U84" s="2" t="s">
        <v>437</v>
      </c>
    </row>
    <row r="85" customFormat="false" ht="15" hidden="false" customHeight="false" outlineLevel="0" collapsed="false">
      <c r="A85" s="2" t="s">
        <v>537</v>
      </c>
      <c r="B85" s="2" t="s">
        <v>538</v>
      </c>
      <c r="C85" s="2" t="s">
        <v>539</v>
      </c>
      <c r="D85" s="2" t="s">
        <v>448</v>
      </c>
      <c r="E85" s="2" t="s">
        <v>316</v>
      </c>
      <c r="F85" s="2" t="s">
        <v>238</v>
      </c>
      <c r="G85" s="2" t="n">
        <v>0</v>
      </c>
      <c r="H85" s="2" t="n">
        <v>2</v>
      </c>
      <c r="I85" s="2" t="n">
        <v>0</v>
      </c>
      <c r="J85" s="35" t="n">
        <v>2</v>
      </c>
      <c r="K85" s="6" t="n">
        <f aca="false">J85*Supuestos!B$5</f>
        <v>270</v>
      </c>
      <c r="L85" s="6" t="n">
        <f aca="false">IF(OR(U85="Resistors",U85="Capacitors"),ROUNDUP(K85*Supuestos!$B$16,0)+Supuestos!$B$17,ROUNDUP(K85*Supuestos!$B$18,0)+Supuestos!$B$19)</f>
        <v>11</v>
      </c>
      <c r="M85" s="6" t="n">
        <f aca="false">K85+L85</f>
        <v>281</v>
      </c>
      <c r="N85" s="33" t="n">
        <v>0.002</v>
      </c>
      <c r="O85" s="22" t="n">
        <v>3724658</v>
      </c>
      <c r="P85" s="6" t="n">
        <f aca="false">SUMIF(BOM_V56!$B:$B,B85,BOM_V56!$M:$M)+SUMIF(BOM_V57!$B:$B,B85,BOM_V57!$M:$M)+SUMIF(BOM_v6!$B:$B,B85,BOM_v6!$M:$M)</f>
        <v>1159</v>
      </c>
      <c r="Q85" s="2" t="str">
        <f aca="false">IF(P85&gt;O85,"SÍ","")</f>
        <v/>
      </c>
      <c r="R85" s="38" t="n">
        <f aca="false">N85*(1+IF(Q85="SÍ",Supuestos!$B$14,0))</f>
        <v>0.002</v>
      </c>
      <c r="S85" s="10" t="n">
        <f aca="false">M85*R85</f>
        <v>0.562</v>
      </c>
      <c r="T85" s="2"/>
      <c r="U85" s="2" t="s">
        <v>437</v>
      </c>
    </row>
    <row r="86" customFormat="false" ht="15" hidden="false" customHeight="false" outlineLevel="0" collapsed="false">
      <c r="A86" s="2" t="s">
        <v>540</v>
      </c>
      <c r="B86" s="2" t="s">
        <v>541</v>
      </c>
      <c r="C86" s="2" t="s">
        <v>542</v>
      </c>
      <c r="D86" s="2" t="s">
        <v>448</v>
      </c>
      <c r="E86" s="2" t="s">
        <v>316</v>
      </c>
      <c r="F86" s="2" t="s">
        <v>197</v>
      </c>
      <c r="G86" s="2" t="n">
        <v>0</v>
      </c>
      <c r="H86" s="2" t="n">
        <v>2</v>
      </c>
      <c r="I86" s="2" t="n">
        <v>0</v>
      </c>
      <c r="J86" s="35" t="n">
        <v>2</v>
      </c>
      <c r="K86" s="6" t="n">
        <f aca="false">J86*Supuestos!B$5</f>
        <v>270</v>
      </c>
      <c r="L86" s="6" t="n">
        <f aca="false">IF(OR(U86="Resistors",U86="Capacitors"),ROUNDUP(K86*Supuestos!$B$16,0)+Supuestos!$B$17,ROUNDUP(K86*Supuestos!$B$18,0)+Supuestos!$B$19)</f>
        <v>11</v>
      </c>
      <c r="M86" s="6" t="n">
        <f aca="false">K86+L86</f>
        <v>281</v>
      </c>
      <c r="N86" s="33" t="n">
        <v>0.002</v>
      </c>
      <c r="O86" s="22" t="n">
        <v>128214</v>
      </c>
      <c r="P86" s="6" t="n">
        <f aca="false">SUMIF(BOM_V56!$B:$B,B86,BOM_V56!$M:$M)+SUMIF(BOM_V57!$B:$B,B86,BOM_V57!$M:$M)+SUMIF(BOM_v6!$B:$B,B86,BOM_v6!$M:$M)</f>
        <v>1098</v>
      </c>
      <c r="Q86" s="2" t="str">
        <f aca="false">IF(P86&gt;O86,"SÍ","")</f>
        <v/>
      </c>
      <c r="R86" s="38" t="n">
        <f aca="false">N86*(1+IF(Q86="SÍ",Supuestos!$B$14,0))</f>
        <v>0.002</v>
      </c>
      <c r="S86" s="10" t="n">
        <f aca="false">M86*R86</f>
        <v>0.562</v>
      </c>
      <c r="T86" s="2"/>
      <c r="U86" s="2" t="s">
        <v>437</v>
      </c>
    </row>
    <row r="87" customFormat="false" ht="15" hidden="false" customHeight="false" outlineLevel="0" collapsed="false">
      <c r="A87" s="2" t="s">
        <v>543</v>
      </c>
      <c r="B87" s="2" t="s">
        <v>544</v>
      </c>
      <c r="C87" s="2" t="s">
        <v>545</v>
      </c>
      <c r="D87" s="2" t="s">
        <v>236</v>
      </c>
      <c r="E87" s="2" t="s">
        <v>546</v>
      </c>
      <c r="F87" s="2" t="s">
        <v>238</v>
      </c>
      <c r="G87" s="2" t="n">
        <v>0</v>
      </c>
      <c r="H87" s="2" t="n">
        <v>2</v>
      </c>
      <c r="I87" s="2" t="n">
        <v>0</v>
      </c>
      <c r="J87" s="35" t="n">
        <v>1</v>
      </c>
      <c r="K87" s="6" t="n">
        <f aca="false">J87*Supuestos!B$5</f>
        <v>135</v>
      </c>
      <c r="L87" s="6" t="n">
        <f aca="false">IF(OR(U87="Resistors",U87="Capacitors"),ROUNDUP(K87*Supuestos!$B$16,0)+Supuestos!$B$17,ROUNDUP(K87*Supuestos!$B$18,0)+Supuestos!$B$19)</f>
        <v>8</v>
      </c>
      <c r="M87" s="6" t="n">
        <f aca="false">K87+L87</f>
        <v>143</v>
      </c>
      <c r="N87" s="33" t="n">
        <v>0.0035</v>
      </c>
      <c r="O87" s="22" t="n">
        <v>34860781</v>
      </c>
      <c r="P87" s="6" t="n">
        <f aca="false">SUMIF(BOM_V56!$B:$B,B87,BOM_V56!$M:$M)+SUMIF(BOM_V57!$B:$B,B87,BOM_V57!$M:$M)+SUMIF(BOM_v6!$B:$B,B87,BOM_v6!$M:$M)</f>
        <v>1444</v>
      </c>
      <c r="Q87" s="2" t="str">
        <f aca="false">IF(P87&gt;O87,"SÍ","")</f>
        <v/>
      </c>
      <c r="R87" s="38" t="n">
        <f aca="false">N87*(1+IF(Q87="SÍ",Supuestos!$B$14,0))</f>
        <v>0.0035</v>
      </c>
      <c r="S87" s="10" t="n">
        <f aca="false">M87*R87</f>
        <v>0.5005</v>
      </c>
      <c r="T87" s="2"/>
      <c r="U87" s="2" t="s">
        <v>239</v>
      </c>
    </row>
    <row r="88" customFormat="false" ht="15" hidden="false" customHeight="false" outlineLevel="0" collapsed="false">
      <c r="A88" s="2" t="s">
        <v>547</v>
      </c>
      <c r="B88" s="2" t="s">
        <v>548</v>
      </c>
      <c r="C88" s="2" t="s">
        <v>549</v>
      </c>
      <c r="D88" s="2" t="s">
        <v>448</v>
      </c>
      <c r="E88" s="2" t="s">
        <v>316</v>
      </c>
      <c r="F88" s="2" t="s">
        <v>238</v>
      </c>
      <c r="G88" s="2" t="n">
        <v>0</v>
      </c>
      <c r="H88" s="2" t="n">
        <v>2</v>
      </c>
      <c r="I88" s="2" t="n">
        <v>0</v>
      </c>
      <c r="J88" s="35" t="n">
        <v>1</v>
      </c>
      <c r="K88" s="6" t="n">
        <f aca="false">J88*Supuestos!B$5</f>
        <v>135</v>
      </c>
      <c r="L88" s="6" t="n">
        <f aca="false">IF(OR(U88="Resistors",U88="Capacitors"),ROUNDUP(K88*Supuestos!$B$16,0)+Supuestos!$B$17,ROUNDUP(K88*Supuestos!$B$18,0)+Supuestos!$B$19)</f>
        <v>8</v>
      </c>
      <c r="M88" s="6" t="n">
        <f aca="false">K88+L88</f>
        <v>143</v>
      </c>
      <c r="N88" s="33" t="n">
        <v>0.0032</v>
      </c>
      <c r="O88" s="22" t="n">
        <v>893239</v>
      </c>
      <c r="P88" s="6" t="n">
        <f aca="false">SUMIF(BOM_V56!$B:$B,B88,BOM_V56!$M:$M)+SUMIF(BOM_V57!$B:$B,B88,BOM_V57!$M:$M)+SUMIF(BOM_v6!$B:$B,B88,BOM_v6!$M:$M)</f>
        <v>588</v>
      </c>
      <c r="Q88" s="2" t="str">
        <f aca="false">IF(P88&gt;O88,"SÍ","")</f>
        <v/>
      </c>
      <c r="R88" s="38" t="n">
        <f aca="false">N88*(1+IF(Q88="SÍ",Supuestos!$B$14,0))</f>
        <v>0.0032</v>
      </c>
      <c r="S88" s="10" t="n">
        <f aca="false">M88*R88</f>
        <v>0.4576</v>
      </c>
      <c r="T88" s="2"/>
      <c r="U88" s="2" t="s">
        <v>437</v>
      </c>
    </row>
    <row r="89" customFormat="false" ht="15" hidden="false" customHeight="false" outlineLevel="0" collapsed="false">
      <c r="A89" s="2" t="s">
        <v>550</v>
      </c>
      <c r="B89" s="2" t="s">
        <v>551</v>
      </c>
      <c r="C89" s="2" t="s">
        <v>552</v>
      </c>
      <c r="D89" s="2" t="s">
        <v>448</v>
      </c>
      <c r="E89" s="2" t="s">
        <v>316</v>
      </c>
      <c r="F89" s="2" t="s">
        <v>238</v>
      </c>
      <c r="G89" s="2" t="n">
        <v>0</v>
      </c>
      <c r="H89" s="2" t="n">
        <v>2</v>
      </c>
      <c r="I89" s="2" t="n">
        <v>0</v>
      </c>
      <c r="J89" s="35" t="n">
        <v>1</v>
      </c>
      <c r="K89" s="6" t="n">
        <f aca="false">J89*Supuestos!B$5</f>
        <v>135</v>
      </c>
      <c r="L89" s="6" t="n">
        <f aca="false">IF(OR(U89="Resistors",U89="Capacitors"),ROUNDUP(K89*Supuestos!$B$16,0)+Supuestos!$B$17,ROUNDUP(K89*Supuestos!$B$18,0)+Supuestos!$B$19)</f>
        <v>8</v>
      </c>
      <c r="M89" s="6" t="n">
        <f aca="false">K89+L89</f>
        <v>143</v>
      </c>
      <c r="N89" s="33" t="n">
        <v>0.0032</v>
      </c>
      <c r="O89" s="22" t="n">
        <v>6801033</v>
      </c>
      <c r="P89" s="6" t="n">
        <f aca="false">SUMIF(BOM_V56!$B:$B,B89,BOM_V56!$M:$M)+SUMIF(BOM_V57!$B:$B,B89,BOM_V57!$M:$M)+SUMIF(BOM_v6!$B:$B,B89,BOM_v6!$M:$M)</f>
        <v>588</v>
      </c>
      <c r="Q89" s="2" t="str">
        <f aca="false">IF(P89&gt;O89,"SÍ","")</f>
        <v/>
      </c>
      <c r="R89" s="38" t="n">
        <f aca="false">N89*(1+IF(Q89="SÍ",Supuestos!$B$14,0))</f>
        <v>0.0032</v>
      </c>
      <c r="S89" s="10" t="n">
        <f aca="false">M89*R89</f>
        <v>0.4576</v>
      </c>
      <c r="T89" s="2"/>
      <c r="U89" s="2" t="s">
        <v>437</v>
      </c>
    </row>
    <row r="90" customFormat="false" ht="15" hidden="false" customHeight="false" outlineLevel="0" collapsed="false">
      <c r="A90" s="2" t="s">
        <v>553</v>
      </c>
      <c r="B90" s="2" t="s">
        <v>554</v>
      </c>
      <c r="C90" s="2" t="s">
        <v>555</v>
      </c>
      <c r="D90" s="2" t="s">
        <v>448</v>
      </c>
      <c r="E90" s="2" t="s">
        <v>316</v>
      </c>
      <c r="F90" s="2" t="s">
        <v>238</v>
      </c>
      <c r="G90" s="2" t="n">
        <v>0</v>
      </c>
      <c r="H90" s="2" t="n">
        <v>2</v>
      </c>
      <c r="I90" s="2" t="n">
        <v>0</v>
      </c>
      <c r="J90" s="35" t="n">
        <v>1</v>
      </c>
      <c r="K90" s="6" t="n">
        <f aca="false">J90*Supuestos!B$5</f>
        <v>135</v>
      </c>
      <c r="L90" s="6" t="n">
        <f aca="false">IF(OR(U90="Resistors",U90="Capacitors"),ROUNDUP(K90*Supuestos!$B$16,0)+Supuestos!$B$17,ROUNDUP(K90*Supuestos!$B$18,0)+Supuestos!$B$19)</f>
        <v>8</v>
      </c>
      <c r="M90" s="6" t="n">
        <f aca="false">K90+L90</f>
        <v>143</v>
      </c>
      <c r="N90" s="33" t="n">
        <v>0.0031</v>
      </c>
      <c r="O90" s="22" t="n">
        <v>640205</v>
      </c>
      <c r="P90" s="6" t="n">
        <f aca="false">SUMIF(BOM_V56!$B:$B,B90,BOM_V56!$M:$M)+SUMIF(BOM_V57!$B:$B,B90,BOM_V57!$M:$M)+SUMIF(BOM_v6!$B:$B,B90,BOM_v6!$M:$M)</f>
        <v>521</v>
      </c>
      <c r="Q90" s="2" t="str">
        <f aca="false">IF(P90&gt;O90,"SÍ","")</f>
        <v/>
      </c>
      <c r="R90" s="38" t="n">
        <f aca="false">N90*(1+IF(Q90="SÍ",Supuestos!$B$14,0))</f>
        <v>0.0031</v>
      </c>
      <c r="S90" s="10" t="n">
        <f aca="false">M90*R90</f>
        <v>0.4433</v>
      </c>
      <c r="T90" s="2"/>
      <c r="U90" s="2" t="s">
        <v>437</v>
      </c>
    </row>
    <row r="91" customFormat="false" ht="15" hidden="false" customHeight="false" outlineLevel="0" collapsed="false">
      <c r="A91" s="2" t="s">
        <v>556</v>
      </c>
      <c r="B91" s="2" t="s">
        <v>557</v>
      </c>
      <c r="C91" s="2" t="s">
        <v>558</v>
      </c>
      <c r="D91" s="2" t="s">
        <v>448</v>
      </c>
      <c r="E91" s="2" t="s">
        <v>316</v>
      </c>
      <c r="F91" s="2" t="s">
        <v>238</v>
      </c>
      <c r="G91" s="2" t="n">
        <v>0</v>
      </c>
      <c r="H91" s="2" t="n">
        <v>2</v>
      </c>
      <c r="I91" s="2" t="n">
        <v>0</v>
      </c>
      <c r="J91" s="35" t="n">
        <v>1</v>
      </c>
      <c r="K91" s="6" t="n">
        <f aca="false">J91*Supuestos!B$5</f>
        <v>135</v>
      </c>
      <c r="L91" s="6" t="n">
        <f aca="false">IF(OR(U91="Resistors",U91="Capacitors"),ROUNDUP(K91*Supuestos!$B$16,0)+Supuestos!$B$17,ROUNDUP(K91*Supuestos!$B$18,0)+Supuestos!$B$19)</f>
        <v>8</v>
      </c>
      <c r="M91" s="6" t="n">
        <f aca="false">K91+L91</f>
        <v>143</v>
      </c>
      <c r="N91" s="33" t="n">
        <v>0.0023</v>
      </c>
      <c r="O91" s="22" t="n">
        <v>10422555</v>
      </c>
      <c r="P91" s="6" t="n">
        <f aca="false">SUMIF(BOM_V56!$B:$B,B91,BOM_V56!$M:$M)+SUMIF(BOM_V57!$B:$B,B91,BOM_V57!$M:$M)+SUMIF(BOM_v6!$B:$B,B91,BOM_v6!$M:$M)</f>
        <v>588</v>
      </c>
      <c r="Q91" s="2" t="str">
        <f aca="false">IF(P91&gt;O91,"SÍ","")</f>
        <v/>
      </c>
      <c r="R91" s="38" t="n">
        <f aca="false">N91*(1+IF(Q91="SÍ",Supuestos!$B$14,0))</f>
        <v>0.0023</v>
      </c>
      <c r="S91" s="10" t="n">
        <f aca="false">M91*R91</f>
        <v>0.3289</v>
      </c>
      <c r="T91" s="2"/>
      <c r="U91" s="2" t="s">
        <v>437</v>
      </c>
    </row>
    <row r="92" customFormat="false" ht="15" hidden="false" customHeight="false" outlineLevel="0" collapsed="false">
      <c r="A92" s="2" t="s">
        <v>559</v>
      </c>
      <c r="B92" s="2" t="s">
        <v>560</v>
      </c>
      <c r="C92" s="2" t="s">
        <v>561</v>
      </c>
      <c r="D92" s="2" t="s">
        <v>448</v>
      </c>
      <c r="E92" s="2" t="s">
        <v>316</v>
      </c>
      <c r="F92" s="2" t="s">
        <v>238</v>
      </c>
      <c r="G92" s="2" t="n">
        <v>0</v>
      </c>
      <c r="H92" s="2" t="n">
        <v>2</v>
      </c>
      <c r="I92" s="2" t="n">
        <v>0</v>
      </c>
      <c r="J92" s="35" t="n">
        <v>1</v>
      </c>
      <c r="K92" s="6" t="n">
        <f aca="false">J92*Supuestos!B$5</f>
        <v>135</v>
      </c>
      <c r="L92" s="6" t="n">
        <f aca="false">IF(OR(U92="Resistors",U92="Capacitors"),ROUNDUP(K92*Supuestos!$B$16,0)+Supuestos!$B$17,ROUNDUP(K92*Supuestos!$B$18,0)+Supuestos!$B$19)</f>
        <v>8</v>
      </c>
      <c r="M92" s="6" t="n">
        <f aca="false">K92+L92</f>
        <v>143</v>
      </c>
      <c r="N92" s="33" t="n">
        <v>0.0022</v>
      </c>
      <c r="O92" s="22" t="n">
        <v>5508378</v>
      </c>
      <c r="P92" s="6" t="n">
        <f aca="false">SUMIF(BOM_V56!$B:$B,B92,BOM_V56!$M:$M)+SUMIF(BOM_V57!$B:$B,B92,BOM_V57!$M:$M)+SUMIF(BOM_v6!$B:$B,B92,BOM_v6!$M:$M)</f>
        <v>521</v>
      </c>
      <c r="Q92" s="2" t="str">
        <f aca="false">IF(P92&gt;O92,"SÍ","")</f>
        <v/>
      </c>
      <c r="R92" s="38" t="n">
        <f aca="false">N92*(1+IF(Q92="SÍ",Supuestos!$B$14,0))</f>
        <v>0.0022</v>
      </c>
      <c r="S92" s="10" t="n">
        <f aca="false">M92*R92</f>
        <v>0.3146</v>
      </c>
      <c r="T92" s="2"/>
      <c r="U92" s="2" t="s">
        <v>437</v>
      </c>
    </row>
    <row r="93" customFormat="false" ht="15" hidden="false" customHeight="false" outlineLevel="0" collapsed="false">
      <c r="A93" s="2" t="s">
        <v>562</v>
      </c>
      <c r="B93" s="2" t="s">
        <v>563</v>
      </c>
      <c r="C93" s="2" t="s">
        <v>564</v>
      </c>
      <c r="D93" s="2" t="s">
        <v>448</v>
      </c>
      <c r="E93" s="2" t="s">
        <v>316</v>
      </c>
      <c r="F93" s="2" t="s">
        <v>238</v>
      </c>
      <c r="G93" s="2" t="n">
        <v>0</v>
      </c>
      <c r="H93" s="2" t="n">
        <v>2</v>
      </c>
      <c r="I93" s="2" t="n">
        <v>0</v>
      </c>
      <c r="J93" s="35" t="n">
        <v>1</v>
      </c>
      <c r="K93" s="6" t="n">
        <f aca="false">J93*Supuestos!B$5</f>
        <v>135</v>
      </c>
      <c r="L93" s="6" t="n">
        <f aca="false">IF(OR(U93="Resistors",U93="Capacitors"),ROUNDUP(K93*Supuestos!$B$16,0)+Supuestos!$B$17,ROUNDUP(K93*Supuestos!$B$18,0)+Supuestos!$B$19)</f>
        <v>8</v>
      </c>
      <c r="M93" s="6" t="n">
        <f aca="false">K93+L93</f>
        <v>143</v>
      </c>
      <c r="N93" s="33" t="n">
        <v>0.0021</v>
      </c>
      <c r="O93" s="22" t="n">
        <v>6812537</v>
      </c>
      <c r="P93" s="6" t="n">
        <f aca="false">SUMIF(BOM_V56!$B:$B,B93,BOM_V56!$M:$M)+SUMIF(BOM_V57!$B:$B,B93,BOM_V57!$M:$M)+SUMIF(BOM_v6!$B:$B,B93,BOM_v6!$M:$M)</f>
        <v>210</v>
      </c>
      <c r="Q93" s="2" t="str">
        <f aca="false">IF(P93&gt;O93,"SÍ","")</f>
        <v/>
      </c>
      <c r="R93" s="38" t="n">
        <f aca="false">N93*(1+IF(Q93="SÍ",Supuestos!$B$14,0))</f>
        <v>0.0021</v>
      </c>
      <c r="S93" s="10" t="n">
        <f aca="false">M93*R93</f>
        <v>0.3003</v>
      </c>
      <c r="T93" s="2"/>
      <c r="U93" s="2" t="s">
        <v>437</v>
      </c>
    </row>
    <row r="94" customFormat="false" ht="15" hidden="false" customHeight="false" outlineLevel="0" collapsed="false">
      <c r="A94" s="2" t="s">
        <v>565</v>
      </c>
      <c r="B94" s="2" t="s">
        <v>566</v>
      </c>
      <c r="C94" s="2" t="s">
        <v>567</v>
      </c>
      <c r="D94" s="2" t="s">
        <v>448</v>
      </c>
      <c r="E94" s="2" t="s">
        <v>316</v>
      </c>
      <c r="F94" s="2" t="s">
        <v>238</v>
      </c>
      <c r="G94" s="2" t="n">
        <v>0</v>
      </c>
      <c r="H94" s="2" t="n">
        <v>2</v>
      </c>
      <c r="I94" s="2" t="n">
        <v>0</v>
      </c>
      <c r="J94" s="35" t="n">
        <v>1</v>
      </c>
      <c r="K94" s="6" t="n">
        <f aca="false">J94*Supuestos!B$5</f>
        <v>135</v>
      </c>
      <c r="L94" s="6" t="n">
        <f aca="false">IF(OR(U94="Resistors",U94="Capacitors"),ROUNDUP(K94*Supuestos!$B$16,0)+Supuestos!$B$17,ROUNDUP(K94*Supuestos!$B$18,0)+Supuestos!$B$19)</f>
        <v>8</v>
      </c>
      <c r="M94" s="6" t="n">
        <f aca="false">K94+L94</f>
        <v>143</v>
      </c>
      <c r="N94" s="33" t="n">
        <v>0.0021</v>
      </c>
      <c r="O94" s="22" t="n">
        <v>2355421</v>
      </c>
      <c r="P94" s="6" t="n">
        <f aca="false">SUMIF(BOM_V56!$B:$B,B94,BOM_V56!$M:$M)+SUMIF(BOM_V57!$B:$B,B94,BOM_V57!$M:$M)+SUMIF(BOM_v6!$B:$B,B94,BOM_v6!$M:$M)</f>
        <v>588</v>
      </c>
      <c r="Q94" s="2" t="str">
        <f aca="false">IF(P94&gt;O94,"SÍ","")</f>
        <v/>
      </c>
      <c r="R94" s="38" t="n">
        <f aca="false">N94*(1+IF(Q94="SÍ",Supuestos!$B$14,0))</f>
        <v>0.0021</v>
      </c>
      <c r="S94" s="10" t="n">
        <f aca="false">M94*R94</f>
        <v>0.3003</v>
      </c>
      <c r="T94" s="2"/>
      <c r="U94" s="2" t="s">
        <v>437</v>
      </c>
    </row>
    <row r="95" customFormat="false" ht="15" hidden="false" customHeight="false" outlineLevel="0" collapsed="false">
      <c r="A95" s="2" t="s">
        <v>568</v>
      </c>
      <c r="B95" s="2" t="s">
        <v>569</v>
      </c>
      <c r="C95" s="2" t="s">
        <v>570</v>
      </c>
      <c r="D95" s="2" t="s">
        <v>448</v>
      </c>
      <c r="E95" s="2" t="s">
        <v>316</v>
      </c>
      <c r="F95" s="2" t="s">
        <v>197</v>
      </c>
      <c r="G95" s="2" t="n">
        <v>0</v>
      </c>
      <c r="H95" s="2" t="n">
        <v>2</v>
      </c>
      <c r="I95" s="2" t="n">
        <v>0</v>
      </c>
      <c r="J95" s="35" t="n">
        <v>1</v>
      </c>
      <c r="K95" s="6" t="n">
        <f aca="false">J95*Supuestos!B$5</f>
        <v>135</v>
      </c>
      <c r="L95" s="6" t="n">
        <f aca="false">IF(OR(U95="Resistors",U95="Capacitors"),ROUNDUP(K95*Supuestos!$B$16,0)+Supuestos!$B$17,ROUNDUP(K95*Supuestos!$B$18,0)+Supuestos!$B$19)</f>
        <v>8</v>
      </c>
      <c r="M95" s="6" t="n">
        <f aca="false">K95+L95</f>
        <v>143</v>
      </c>
      <c r="N95" s="33" t="n">
        <v>0.002</v>
      </c>
      <c r="O95" s="22" t="n">
        <v>9410</v>
      </c>
      <c r="P95" s="6" t="n">
        <f aca="false">SUMIF(BOM_V56!$B:$B,B95,BOM_V56!$M:$M)+SUMIF(BOM_V57!$B:$B,B95,BOM_V57!$M:$M)+SUMIF(BOM_v6!$B:$B,B95,BOM_v6!$M:$M)</f>
        <v>588</v>
      </c>
      <c r="Q95" s="2" t="str">
        <f aca="false">IF(P95&gt;O95,"SÍ","")</f>
        <v/>
      </c>
      <c r="R95" s="38" t="n">
        <f aca="false">N95*(1+IF(Q95="SÍ",Supuestos!$B$14,0))</f>
        <v>0.002</v>
      </c>
      <c r="S95" s="10" t="n">
        <f aca="false">M95*R95</f>
        <v>0.286</v>
      </c>
      <c r="T95" s="2"/>
      <c r="U95" s="2" t="s">
        <v>437</v>
      </c>
    </row>
    <row r="96" customFormat="false" ht="15" hidden="false" customHeight="false" outlineLevel="0" collapsed="false">
      <c r="A96" s="2" t="s">
        <v>571</v>
      </c>
      <c r="B96" s="2" t="s">
        <v>572</v>
      </c>
      <c r="C96" s="2" t="s">
        <v>573</v>
      </c>
      <c r="D96" s="2" t="s">
        <v>448</v>
      </c>
      <c r="E96" s="2" t="s">
        <v>316</v>
      </c>
      <c r="F96" s="2" t="s">
        <v>197</v>
      </c>
      <c r="G96" s="2" t="n">
        <v>0</v>
      </c>
      <c r="H96" s="2" t="n">
        <v>2</v>
      </c>
      <c r="I96" s="2" t="n">
        <v>0</v>
      </c>
      <c r="J96" s="35" t="n">
        <v>1</v>
      </c>
      <c r="K96" s="6" t="n">
        <f aca="false">J96*Supuestos!B$5</f>
        <v>135</v>
      </c>
      <c r="L96" s="6" t="n">
        <f aca="false">IF(OR(U96="Resistors",U96="Capacitors"),ROUNDUP(K96*Supuestos!$B$16,0)+Supuestos!$B$17,ROUNDUP(K96*Supuestos!$B$18,0)+Supuestos!$B$19)</f>
        <v>8</v>
      </c>
      <c r="M96" s="6" t="n">
        <f aca="false">K96+L96</f>
        <v>143</v>
      </c>
      <c r="N96" s="33" t="n">
        <v>0.0018</v>
      </c>
      <c r="O96" s="22" t="n">
        <v>273494</v>
      </c>
      <c r="P96" s="6" t="n">
        <f aca="false">SUMIF(BOM_V56!$B:$B,B96,BOM_V56!$M:$M)+SUMIF(BOM_V57!$B:$B,B96,BOM_V57!$M:$M)+SUMIF(BOM_v6!$B:$B,B96,BOM_v6!$M:$M)</f>
        <v>588</v>
      </c>
      <c r="Q96" s="2" t="str">
        <f aca="false">IF(P96&gt;O96,"SÍ","")</f>
        <v/>
      </c>
      <c r="R96" s="38" t="n">
        <f aca="false">N96*(1+IF(Q96="SÍ",Supuestos!$B$14,0))</f>
        <v>0.0018</v>
      </c>
      <c r="S96" s="10" t="n">
        <f aca="false">M96*R96</f>
        <v>0.2574</v>
      </c>
      <c r="T96" s="2"/>
      <c r="U96" s="2" t="s">
        <v>437</v>
      </c>
    </row>
    <row r="97" customFormat="false" ht="15" hidden="false" customHeight="false" outlineLevel="0" collapsed="false">
      <c r="A97" s="2" t="s">
        <v>574</v>
      </c>
      <c r="B97" s="2" t="s">
        <v>575</v>
      </c>
      <c r="C97" s="2" t="s">
        <v>576</v>
      </c>
      <c r="D97" s="2" t="s">
        <v>577</v>
      </c>
      <c r="E97" s="2" t="s">
        <v>316</v>
      </c>
      <c r="F97" s="2" t="s">
        <v>197</v>
      </c>
      <c r="G97" s="2" t="n">
        <v>0</v>
      </c>
      <c r="H97" s="2" t="n">
        <v>2</v>
      </c>
      <c r="I97" s="2" t="n">
        <v>0</v>
      </c>
      <c r="J97" s="35" t="n">
        <v>1</v>
      </c>
      <c r="K97" s="6" t="n">
        <f aca="false">J97*Supuestos!B$5</f>
        <v>135</v>
      </c>
      <c r="L97" s="6" t="n">
        <f aca="false">IF(OR(U97="Resistors",U97="Capacitors"),ROUNDUP(K97*Supuestos!$B$16,0)+Supuestos!$B$17,ROUNDUP(K97*Supuestos!$B$18,0)+Supuestos!$B$19)</f>
        <v>8</v>
      </c>
      <c r="M97" s="6" t="n">
        <f aca="false">K97+L97</f>
        <v>143</v>
      </c>
      <c r="N97" s="33" t="n">
        <v>0.0015</v>
      </c>
      <c r="O97" s="22" t="n">
        <v>1</v>
      </c>
      <c r="P97" s="6" t="n">
        <f aca="false">SUMIF(BOM_V56!$B:$B,B97,BOM_V56!$M:$M)+SUMIF(BOM_V57!$B:$B,B97,BOM_V57!$M:$M)+SUMIF(BOM_v6!$B:$B,B97,BOM_v6!$M:$M)</f>
        <v>588</v>
      </c>
      <c r="Q97" s="2" t="str">
        <f aca="false">IF(P97&gt;O97,"SÍ","")</f>
        <v>SÍ</v>
      </c>
      <c r="R97" s="38" t="n">
        <f aca="false">N97*(1+IF(Q97="SÍ",Supuestos!$B$14,0))</f>
        <v>0.001725</v>
      </c>
      <c r="S97" s="10" t="n">
        <f aca="false">M97*R97</f>
        <v>0.246675</v>
      </c>
      <c r="T97" s="2"/>
      <c r="U97" s="2" t="s">
        <v>437</v>
      </c>
    </row>
    <row r="98" customFormat="false" ht="15" hidden="false" customHeight="false" outlineLevel="0" collapsed="false">
      <c r="A98" s="2" t="s">
        <v>578</v>
      </c>
      <c r="B98" s="2" t="s">
        <v>579</v>
      </c>
      <c r="C98" s="2" t="s">
        <v>580</v>
      </c>
      <c r="D98" s="2" t="s">
        <v>448</v>
      </c>
      <c r="E98" s="2" t="s">
        <v>316</v>
      </c>
      <c r="F98" s="2" t="s">
        <v>238</v>
      </c>
      <c r="G98" s="2" t="n">
        <v>0</v>
      </c>
      <c r="H98" s="2" t="n">
        <v>2</v>
      </c>
      <c r="I98" s="2" t="n">
        <v>0</v>
      </c>
      <c r="J98" s="35" t="n">
        <v>1</v>
      </c>
      <c r="K98" s="6" t="n">
        <f aca="false">J98*Supuestos!B$5</f>
        <v>135</v>
      </c>
      <c r="L98" s="6" t="n">
        <f aca="false">IF(OR(U98="Resistors",U98="Capacitors"),ROUNDUP(K98*Supuestos!$B$16,0)+Supuestos!$B$17,ROUNDUP(K98*Supuestos!$B$18,0)+Supuestos!$B$19)</f>
        <v>8</v>
      </c>
      <c r="M98" s="6" t="n">
        <f aca="false">K98+L98</f>
        <v>143</v>
      </c>
      <c r="N98" s="33" t="n">
        <v>0.0015</v>
      </c>
      <c r="O98" s="22" t="n">
        <v>1146145</v>
      </c>
      <c r="P98" s="6" t="n">
        <f aca="false">SUMIF(BOM_V56!$B:$B,B98,BOM_V56!$M:$M)+SUMIF(BOM_V57!$B:$B,B98,BOM_V57!$M:$M)+SUMIF(BOM_v6!$B:$B,B98,BOM_v6!$M:$M)</f>
        <v>588</v>
      </c>
      <c r="Q98" s="2" t="str">
        <f aca="false">IF(P98&gt;O98,"SÍ","")</f>
        <v/>
      </c>
      <c r="R98" s="38" t="n">
        <f aca="false">N98*(1+IF(Q98="SÍ",Supuestos!$B$14,0))</f>
        <v>0.0015</v>
      </c>
      <c r="S98" s="10" t="n">
        <f aca="false">M98*R98</f>
        <v>0.2145</v>
      </c>
      <c r="T98" s="2"/>
      <c r="U98" s="2" t="s">
        <v>437</v>
      </c>
    </row>
    <row r="99" customFormat="false" ht="15" hidden="false" customHeight="false" outlineLevel="0" collapsed="false">
      <c r="A99" s="2" t="s">
        <v>581</v>
      </c>
      <c r="B99" s="2" t="s">
        <v>582</v>
      </c>
      <c r="C99" s="2" t="s">
        <v>583</v>
      </c>
      <c r="D99" s="2" t="s">
        <v>577</v>
      </c>
      <c r="E99" s="2" t="s">
        <v>316</v>
      </c>
      <c r="F99" s="2" t="s">
        <v>197</v>
      </c>
      <c r="G99" s="2" t="n">
        <v>0</v>
      </c>
      <c r="H99" s="2" t="n">
        <v>2</v>
      </c>
      <c r="I99" s="2" t="n">
        <v>0</v>
      </c>
      <c r="J99" s="35" t="n">
        <v>1</v>
      </c>
      <c r="K99" s="6" t="n">
        <f aca="false">J99*Supuestos!B$5</f>
        <v>135</v>
      </c>
      <c r="L99" s="6" t="n">
        <f aca="false">IF(OR(U99="Resistors",U99="Capacitors"),ROUNDUP(K99*Supuestos!$B$16,0)+Supuestos!$B$17,ROUNDUP(K99*Supuestos!$B$18,0)+Supuestos!$B$19)</f>
        <v>8</v>
      </c>
      <c r="M99" s="6" t="n">
        <f aca="false">K99+L99</f>
        <v>143</v>
      </c>
      <c r="N99" s="33" t="n">
        <v>0.0013</v>
      </c>
      <c r="O99" s="22" t="n">
        <v>53</v>
      </c>
      <c r="P99" s="6" t="n">
        <f aca="false">SUMIF(BOM_V56!$B:$B,B99,BOM_V56!$M:$M)+SUMIF(BOM_V57!$B:$B,B99,BOM_V57!$M:$M)+SUMIF(BOM_v6!$B:$B,B99,BOM_v6!$M:$M)</f>
        <v>143</v>
      </c>
      <c r="Q99" s="2" t="str">
        <f aca="false">IF(P99&gt;O99,"SÍ","")</f>
        <v>SÍ</v>
      </c>
      <c r="R99" s="38" t="n">
        <f aca="false">N99*(1+IF(Q99="SÍ",Supuestos!$B$14,0))</f>
        <v>0.001495</v>
      </c>
      <c r="S99" s="10" t="n">
        <f aca="false">M99*R99</f>
        <v>0.213785</v>
      </c>
      <c r="T99" s="2"/>
      <c r="U99" s="2" t="s">
        <v>437</v>
      </c>
    </row>
    <row r="100" customFormat="false" ht="15" hidden="false" customHeight="false" outlineLevel="0" collapsed="false">
      <c r="A100" s="2" t="s">
        <v>584</v>
      </c>
      <c r="B100" s="2" t="s">
        <v>585</v>
      </c>
      <c r="C100" s="2" t="s">
        <v>586</v>
      </c>
      <c r="D100" s="2" t="s">
        <v>587</v>
      </c>
      <c r="E100" s="2" t="s">
        <v>316</v>
      </c>
      <c r="F100" s="2" t="s">
        <v>197</v>
      </c>
      <c r="G100" s="2" t="n">
        <v>0</v>
      </c>
      <c r="H100" s="2" t="n">
        <v>2</v>
      </c>
      <c r="I100" s="2" t="n">
        <v>0</v>
      </c>
      <c r="J100" s="35" t="n">
        <v>1</v>
      </c>
      <c r="K100" s="6" t="n">
        <f aca="false">J100*Supuestos!B$5</f>
        <v>135</v>
      </c>
      <c r="L100" s="6" t="n">
        <f aca="false">IF(OR(U100="Resistors",U100="Capacitors"),ROUNDUP(K100*Supuestos!$B$16,0)+Supuestos!$B$17,ROUNDUP(K100*Supuestos!$B$18,0)+Supuestos!$B$19)</f>
        <v>8</v>
      </c>
      <c r="M100" s="6" t="n">
        <f aca="false">K100+L100</f>
        <v>143</v>
      </c>
      <c r="N100" s="33" t="n">
        <v>0.0014</v>
      </c>
      <c r="O100" s="22" t="n">
        <v>1630</v>
      </c>
      <c r="P100" s="6" t="n">
        <f aca="false">SUMIF(BOM_V56!$B:$B,B100,BOM_V56!$M:$M)+SUMIF(BOM_V57!$B:$B,B100,BOM_V57!$M:$M)+SUMIF(BOM_v6!$B:$B,B100,BOM_v6!$M:$M)</f>
        <v>588</v>
      </c>
      <c r="Q100" s="2" t="str">
        <f aca="false">IF(P100&gt;O100,"SÍ","")</f>
        <v/>
      </c>
      <c r="R100" s="38" t="n">
        <f aca="false">N100*(1+IF(Q100="SÍ",Supuestos!$B$14,0))</f>
        <v>0.0014</v>
      </c>
      <c r="S100" s="10" t="n">
        <f aca="false">M100*R100</f>
        <v>0.2002</v>
      </c>
      <c r="T100" s="2"/>
      <c r="U100" s="2" t="s">
        <v>437</v>
      </c>
    </row>
    <row r="101" customFormat="false" ht="15" hidden="false" customHeight="false" outlineLevel="0" collapsed="false">
      <c r="A101" s="12" t="s">
        <v>6</v>
      </c>
      <c r="B101" s="14"/>
      <c r="C101" s="14"/>
      <c r="D101" s="14"/>
      <c r="E101" s="14"/>
      <c r="F101" s="14"/>
      <c r="G101" s="14"/>
      <c r="H101" s="14"/>
      <c r="I101" s="14"/>
      <c r="J101" s="40" t="n">
        <f aca="false">SUM(J5:J100)</f>
        <v>226</v>
      </c>
      <c r="K101" s="14"/>
      <c r="L101" s="14"/>
      <c r="M101" s="14"/>
      <c r="N101" s="14"/>
      <c r="O101" s="14"/>
      <c r="P101" s="14"/>
      <c r="Q101" s="14"/>
      <c r="R101" s="14"/>
      <c r="S101" s="13" t="n">
        <f aca="false">SUM(S5:S100)</f>
        <v>6226.697495</v>
      </c>
      <c r="T101" s="14"/>
      <c r="U101" s="14"/>
    </row>
  </sheetData>
  <autoFilter ref="A4:U100"/>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drawing r:id="rId1"/>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U110"/>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2" ySplit="4" topLeftCell="C5" activePane="bottomRight" state="frozen"/>
      <selection pane="topLeft" activeCell="A1" activeCellId="0" sqref="A1"/>
      <selection pane="topRight" activeCell="C1" activeCellId="0" sqref="C1"/>
      <selection pane="bottomLeft" activeCell="A5" activeCellId="0" sqref="A5"/>
      <selection pane="bottomRight" activeCell="A1" activeCellId="0" sqref="A1"/>
    </sheetView>
  </sheetViews>
  <sheetFormatPr defaultColWidth="8.6796875" defaultRowHeight="15" zeroHeight="false" outlineLevelRow="0" outlineLevelCol="0"/>
  <cols>
    <col collapsed="false" customWidth="true" hidden="false" outlineLevel="0" max="1" min="1" style="0" width="30"/>
    <col collapsed="false" customWidth="true" hidden="false" outlineLevel="0" max="2" min="2" style="0" width="11"/>
    <col collapsed="false" customWidth="true" hidden="false" outlineLevel="0" max="3" min="3" style="0" width="24"/>
    <col collapsed="false" customWidth="true" hidden="false" outlineLevel="0" max="4" min="4" style="0" width="18"/>
    <col collapsed="false" customWidth="true" hidden="false" outlineLevel="0" max="5" min="5" style="0" width="14"/>
    <col collapsed="false" customWidth="true" hidden="false" outlineLevel="0" max="6" min="6" style="0" width="10"/>
    <col collapsed="false" customWidth="true" hidden="false" outlineLevel="0" max="7" min="7" style="0" width="6"/>
    <col collapsed="false" customWidth="true" hidden="false" outlineLevel="0" max="9" min="8" style="0" width="8"/>
    <col collapsed="false" customWidth="true" hidden="false" outlineLevel="0" max="10" min="10" style="0" width="9"/>
    <col collapsed="false" customWidth="true" hidden="false" outlineLevel="0" max="11" min="11" style="0" width="10"/>
    <col collapsed="false" customWidth="true" hidden="false" outlineLevel="0" max="12" min="12" style="0" width="8"/>
    <col collapsed="false" customWidth="true" hidden="false" outlineLevel="0" max="13" min="13" style="0" width="11"/>
    <col collapsed="false" customWidth="true" hidden="false" outlineLevel="0" max="15" min="14" style="0" width="12"/>
    <col collapsed="false" customWidth="true" hidden="false" outlineLevel="0" max="16" min="16" style="0" width="11"/>
    <col collapsed="false" customWidth="true" hidden="false" outlineLevel="0" max="17" min="17" style="0" width="8"/>
    <col collapsed="false" customWidth="true" hidden="false" outlineLevel="0" max="19" min="18" style="0" width="12"/>
    <col collapsed="false" customWidth="true" hidden="false" outlineLevel="0" max="20" min="20" style="0" width="9"/>
    <col collapsed="false" customWidth="true" hidden="false" outlineLevel="0" max="21" min="21" style="0" width="14"/>
  </cols>
  <sheetData>
    <row r="1" customFormat="false" ht="17.35" hidden="false" customHeight="false" outlineLevel="0" collapsed="false">
      <c r="A1" s="1" t="s">
        <v>588</v>
      </c>
      <c r="B1" s="2"/>
      <c r="C1" s="2"/>
      <c r="D1" s="2"/>
      <c r="E1" s="2"/>
      <c r="F1" s="2"/>
      <c r="G1" s="2"/>
      <c r="H1" s="2"/>
      <c r="I1" s="2"/>
      <c r="J1" s="2"/>
      <c r="K1" s="2"/>
      <c r="L1" s="2"/>
      <c r="M1" s="2"/>
      <c r="N1" s="2"/>
      <c r="O1" s="2"/>
      <c r="P1" s="2"/>
      <c r="Q1" s="2"/>
      <c r="R1" s="2"/>
      <c r="S1" s="2"/>
      <c r="T1" s="2"/>
      <c r="U1" s="2"/>
    </row>
    <row r="2" customFormat="false" ht="15" hidden="false" customHeight="false" outlineLevel="0" collapsed="false">
      <c r="A2" s="3" t="s">
        <v>589</v>
      </c>
      <c r="B2" s="2"/>
      <c r="C2" s="2"/>
      <c r="D2" s="2"/>
      <c r="E2" s="2"/>
      <c r="F2" s="2"/>
      <c r="G2" s="2"/>
      <c r="H2" s="2"/>
      <c r="I2" s="2"/>
      <c r="J2" s="2"/>
      <c r="K2" s="2"/>
      <c r="L2" s="2"/>
      <c r="M2" s="2"/>
      <c r="N2" s="2"/>
      <c r="O2" s="2"/>
      <c r="P2" s="2"/>
      <c r="Q2" s="2"/>
      <c r="R2" s="2"/>
      <c r="S2" s="2"/>
      <c r="T2" s="2"/>
      <c r="U2" s="2"/>
    </row>
    <row r="3" customFormat="false" ht="15" hidden="false" customHeight="false" outlineLevel="0" collapsed="false">
      <c r="A3" s="2"/>
      <c r="B3" s="2"/>
      <c r="C3" s="2"/>
      <c r="D3" s="2"/>
      <c r="E3" s="2"/>
      <c r="F3" s="2"/>
      <c r="G3" s="2"/>
      <c r="H3" s="2"/>
      <c r="I3" s="2"/>
      <c r="J3" s="2"/>
      <c r="K3" s="2"/>
      <c r="L3" s="2"/>
      <c r="M3" s="2"/>
      <c r="N3" s="2"/>
      <c r="O3" s="2"/>
      <c r="P3" s="2"/>
      <c r="Q3" s="2"/>
      <c r="R3" s="2"/>
      <c r="S3" s="2"/>
      <c r="T3" s="2"/>
      <c r="U3" s="2"/>
    </row>
    <row r="4" customFormat="false" ht="30" hidden="false" customHeight="true" outlineLevel="0" collapsed="false">
      <c r="A4" s="4" t="s">
        <v>171</v>
      </c>
      <c r="B4" s="4" t="s">
        <v>172</v>
      </c>
      <c r="C4" s="4" t="s">
        <v>173</v>
      </c>
      <c r="D4" s="4" t="s">
        <v>174</v>
      </c>
      <c r="E4" s="4" t="s">
        <v>175</v>
      </c>
      <c r="F4" s="4" t="s">
        <v>176</v>
      </c>
      <c r="G4" s="4" t="s">
        <v>177</v>
      </c>
      <c r="H4" s="4" t="s">
        <v>178</v>
      </c>
      <c r="I4" s="4" t="s">
        <v>179</v>
      </c>
      <c r="J4" s="4" t="s">
        <v>180</v>
      </c>
      <c r="K4" s="4" t="s">
        <v>181</v>
      </c>
      <c r="L4" s="4" t="s">
        <v>182</v>
      </c>
      <c r="M4" s="4" t="s">
        <v>183</v>
      </c>
      <c r="N4" s="4" t="s">
        <v>184</v>
      </c>
      <c r="O4" s="4" t="s">
        <v>185</v>
      </c>
      <c r="P4" s="4" t="s">
        <v>186</v>
      </c>
      <c r="Q4" s="4" t="s">
        <v>187</v>
      </c>
      <c r="R4" s="4" t="s">
        <v>188</v>
      </c>
      <c r="S4" s="4" t="s">
        <v>189</v>
      </c>
      <c r="T4" s="4" t="s">
        <v>190</v>
      </c>
      <c r="U4" s="4" t="s">
        <v>191</v>
      </c>
    </row>
    <row r="5" customFormat="false" ht="15" hidden="false" customHeight="false" outlineLevel="0" collapsed="false">
      <c r="A5" s="2" t="s">
        <v>192</v>
      </c>
      <c r="B5" s="2" t="s">
        <v>193</v>
      </c>
      <c r="C5" s="2" t="s">
        <v>194</v>
      </c>
      <c r="D5" s="2" t="s">
        <v>195</v>
      </c>
      <c r="E5" s="2" t="s">
        <v>196</v>
      </c>
      <c r="F5" s="2" t="s">
        <v>197</v>
      </c>
      <c r="G5" s="2" t="n">
        <v>0</v>
      </c>
      <c r="H5" s="2" t="n">
        <v>64</v>
      </c>
      <c r="I5" s="2" t="n">
        <v>0</v>
      </c>
      <c r="J5" s="35" t="n">
        <v>1</v>
      </c>
      <c r="K5" s="6" t="n">
        <f aca="false">J5*Supuestos!C$5</f>
        <v>365</v>
      </c>
      <c r="L5" s="6" t="n">
        <f aca="false">IF(OR(U5="Resistors",U5="Capacitors"),ROUNDUP(K5*Supuestos!$B$16,0)+Supuestos!$B$17,ROUNDUP(K5*Supuestos!$B$18,0)+Supuestos!$B$19)</f>
        <v>5</v>
      </c>
      <c r="M5" s="6" t="n">
        <f aca="false">K5+L5</f>
        <v>370</v>
      </c>
      <c r="N5" s="33" t="n">
        <v>7.2426</v>
      </c>
      <c r="O5" s="22" t="n">
        <v>2</v>
      </c>
      <c r="P5" s="6" t="n">
        <f aca="false">SUMIF(BOM_V56!$B:$B,B5,BOM_V56!$M:$M)+SUMIF(BOM_V57!$B:$B,B5,BOM_V57!$M:$M)+SUMIF(BOM_v6!$B:$B,B5,BOM_v6!$M:$M)</f>
        <v>570</v>
      </c>
      <c r="Q5" s="2" t="str">
        <f aca="false">IF(P5&gt;O5,"SÍ","")</f>
        <v>SÍ</v>
      </c>
      <c r="R5" s="38" t="n">
        <f aca="false">N5*(1+IF(Q5="SÍ",Supuestos!$B$14,0))</f>
        <v>8.32899</v>
      </c>
      <c r="S5" s="10" t="n">
        <f aca="false">M5*R5</f>
        <v>3081.7263</v>
      </c>
      <c r="T5" s="2"/>
      <c r="U5" s="2" t="s">
        <v>198</v>
      </c>
    </row>
    <row r="6" customFormat="false" ht="15" hidden="false" customHeight="false" outlineLevel="0" collapsed="false">
      <c r="A6" s="2" t="s">
        <v>199</v>
      </c>
      <c r="B6" s="2" t="s">
        <v>200</v>
      </c>
      <c r="C6" s="2" t="s">
        <v>201</v>
      </c>
      <c r="D6" s="2" t="s">
        <v>202</v>
      </c>
      <c r="E6" s="2" t="s">
        <v>203</v>
      </c>
      <c r="F6" s="2" t="s">
        <v>197</v>
      </c>
      <c r="G6" s="2" t="n">
        <v>0</v>
      </c>
      <c r="H6" s="2" t="n">
        <v>25</v>
      </c>
      <c r="I6" s="2" t="n">
        <v>0</v>
      </c>
      <c r="J6" s="35" t="n">
        <v>1</v>
      </c>
      <c r="K6" s="6" t="n">
        <f aca="false">J6*Supuestos!C$5</f>
        <v>365</v>
      </c>
      <c r="L6" s="6" t="n">
        <f aca="false">IF(OR(U6="Resistors",U6="Capacitors"),ROUNDUP(K6*Supuestos!$B$16,0)+Supuestos!$B$17,ROUNDUP(K6*Supuestos!$B$18,0)+Supuestos!$B$19)</f>
        <v>5</v>
      </c>
      <c r="M6" s="6" t="n">
        <f aca="false">K6+L6</f>
        <v>370</v>
      </c>
      <c r="N6" s="33" t="n">
        <v>7.2672</v>
      </c>
      <c r="O6" s="22" t="n">
        <v>2211</v>
      </c>
      <c r="P6" s="6" t="n">
        <f aca="false">SUMIF(BOM_V56!$B:$B,B6,BOM_V56!$M:$M)+SUMIF(BOM_V57!$B:$B,B6,BOM_V57!$M:$M)+SUMIF(BOM_v6!$B:$B,B6,BOM_v6!$M:$M)</f>
        <v>570</v>
      </c>
      <c r="Q6" s="2" t="str">
        <f aca="false">IF(P6&gt;O6,"SÍ","")</f>
        <v/>
      </c>
      <c r="R6" s="38" t="n">
        <f aca="false">N6*(1+IF(Q6="SÍ",Supuestos!$B$14,0))</f>
        <v>7.2672</v>
      </c>
      <c r="S6" s="10" t="n">
        <f aca="false">M6*R6</f>
        <v>2688.864</v>
      </c>
      <c r="T6" s="2"/>
      <c r="U6" s="2" t="s">
        <v>204</v>
      </c>
    </row>
    <row r="7" customFormat="false" ht="15" hidden="false" customHeight="false" outlineLevel="0" collapsed="false">
      <c r="A7" s="2" t="s">
        <v>205</v>
      </c>
      <c r="B7" s="2" t="s">
        <v>206</v>
      </c>
      <c r="C7" s="2" t="s">
        <v>207</v>
      </c>
      <c r="D7" s="2" t="s">
        <v>208</v>
      </c>
      <c r="E7" s="2" t="s">
        <v>209</v>
      </c>
      <c r="F7" s="2" t="s">
        <v>197</v>
      </c>
      <c r="G7" s="2" t="n">
        <v>0</v>
      </c>
      <c r="H7" s="2" t="n">
        <v>28</v>
      </c>
      <c r="I7" s="2" t="n">
        <v>0</v>
      </c>
      <c r="J7" s="35" t="n">
        <v>1</v>
      </c>
      <c r="K7" s="6" t="n">
        <f aca="false">J7*Supuestos!C$5</f>
        <v>365</v>
      </c>
      <c r="L7" s="6" t="n">
        <f aca="false">IF(OR(U7="Resistors",U7="Capacitors"),ROUNDUP(K7*Supuestos!$B$16,0)+Supuestos!$B$17,ROUNDUP(K7*Supuestos!$B$18,0)+Supuestos!$B$19)</f>
        <v>5</v>
      </c>
      <c r="M7" s="6" t="n">
        <f aca="false">K7+L7</f>
        <v>370</v>
      </c>
      <c r="N7" s="33" t="n">
        <v>5.0297</v>
      </c>
      <c r="O7" s="22" t="n">
        <v>7982</v>
      </c>
      <c r="P7" s="6" t="n">
        <f aca="false">SUMIF(BOM_V56!$B:$B,B7,BOM_V56!$M:$M)+SUMIF(BOM_V57!$B:$B,B7,BOM_V57!$M:$M)+SUMIF(BOM_v6!$B:$B,B7,BOM_v6!$M:$M)</f>
        <v>570</v>
      </c>
      <c r="Q7" s="2" t="str">
        <f aca="false">IF(P7&gt;O7,"SÍ","")</f>
        <v/>
      </c>
      <c r="R7" s="38" t="n">
        <f aca="false">N7*(1+IF(Q7="SÍ",Supuestos!$B$14,0))</f>
        <v>5.0297</v>
      </c>
      <c r="S7" s="10" t="n">
        <f aca="false">M7*R7</f>
        <v>1860.989</v>
      </c>
      <c r="T7" s="2"/>
      <c r="U7" s="2" t="s">
        <v>210</v>
      </c>
    </row>
    <row r="8" customFormat="false" ht="15" hidden="false" customHeight="false" outlineLevel="0" collapsed="false">
      <c r="A8" s="2" t="s">
        <v>590</v>
      </c>
      <c r="B8" s="2" t="s">
        <v>212</v>
      </c>
      <c r="C8" s="2" t="s">
        <v>213</v>
      </c>
      <c r="D8" s="2" t="s">
        <v>214</v>
      </c>
      <c r="E8" s="2" t="s">
        <v>215</v>
      </c>
      <c r="F8" s="2" t="s">
        <v>197</v>
      </c>
      <c r="G8" s="2" t="n">
        <v>0</v>
      </c>
      <c r="H8" s="2" t="n">
        <v>9</v>
      </c>
      <c r="I8" s="2" t="n">
        <v>0</v>
      </c>
      <c r="J8" s="35" t="n">
        <v>1</v>
      </c>
      <c r="K8" s="6" t="n">
        <f aca="false">J8*Supuestos!C$5</f>
        <v>365</v>
      </c>
      <c r="L8" s="6" t="n">
        <f aca="false">IF(OR(U8="Resistors",U8="Capacitors"),ROUNDUP(K8*Supuestos!$B$16,0)+Supuestos!$B$17,ROUNDUP(K8*Supuestos!$B$18,0)+Supuestos!$B$19)</f>
        <v>5</v>
      </c>
      <c r="M8" s="6" t="n">
        <f aca="false">K8+L8</f>
        <v>370</v>
      </c>
      <c r="N8" s="33" t="n">
        <v>2.4371</v>
      </c>
      <c r="O8" s="22" t="n">
        <v>1189</v>
      </c>
      <c r="P8" s="6" t="n">
        <f aca="false">SUMIF(BOM_V56!$B:$B,B8,BOM_V56!$M:$M)+SUMIF(BOM_V57!$B:$B,B8,BOM_V57!$M:$M)+SUMIF(BOM_v6!$B:$B,B8,BOM_v6!$M:$M)</f>
        <v>706</v>
      </c>
      <c r="Q8" s="2" t="str">
        <f aca="false">IF(P8&gt;O8,"SÍ","")</f>
        <v/>
      </c>
      <c r="R8" s="38" t="n">
        <f aca="false">N8*(1+IF(Q8="SÍ",Supuestos!$B$14,0))</f>
        <v>2.4371</v>
      </c>
      <c r="S8" s="10" t="n">
        <f aca="false">M8*R8</f>
        <v>901.727</v>
      </c>
      <c r="T8" s="2"/>
      <c r="U8" s="2" t="s">
        <v>216</v>
      </c>
    </row>
    <row r="9" customFormat="false" ht="15" hidden="false" customHeight="false" outlineLevel="0" collapsed="false">
      <c r="A9" s="2" t="s">
        <v>217</v>
      </c>
      <c r="B9" s="2" t="s">
        <v>218</v>
      </c>
      <c r="C9" s="2" t="s">
        <v>219</v>
      </c>
      <c r="D9" s="2" t="s">
        <v>220</v>
      </c>
      <c r="E9" s="2" t="s">
        <v>221</v>
      </c>
      <c r="F9" s="2" t="s">
        <v>197</v>
      </c>
      <c r="G9" s="2" t="n">
        <v>0</v>
      </c>
      <c r="H9" s="2" t="n">
        <v>48</v>
      </c>
      <c r="I9" s="2" t="n">
        <v>0</v>
      </c>
      <c r="J9" s="35" t="n">
        <v>1</v>
      </c>
      <c r="K9" s="6" t="n">
        <f aca="false">J9*Supuestos!C$5</f>
        <v>365</v>
      </c>
      <c r="L9" s="6" t="n">
        <f aca="false">IF(OR(U9="Resistors",U9="Capacitors"),ROUNDUP(K9*Supuestos!$B$16,0)+Supuestos!$B$17,ROUNDUP(K9*Supuestos!$B$18,0)+Supuestos!$B$19)</f>
        <v>5</v>
      </c>
      <c r="M9" s="6" t="n">
        <f aca="false">K9+L9</f>
        <v>370</v>
      </c>
      <c r="N9" s="33" t="n">
        <v>1.9772</v>
      </c>
      <c r="O9" s="22" t="n">
        <v>23249</v>
      </c>
      <c r="P9" s="6" t="n">
        <f aca="false">SUMIF(BOM_V56!$B:$B,B9,BOM_V56!$M:$M)+SUMIF(BOM_V57!$B:$B,B9,BOM_V57!$M:$M)+SUMIF(BOM_v6!$B:$B,B9,BOM_v6!$M:$M)</f>
        <v>570</v>
      </c>
      <c r="Q9" s="2" t="str">
        <f aca="false">IF(P9&gt;O9,"SÍ","")</f>
        <v/>
      </c>
      <c r="R9" s="38" t="n">
        <f aca="false">N9*(1+IF(Q9="SÍ",Supuestos!$B$14,0))</f>
        <v>1.9772</v>
      </c>
      <c r="S9" s="10" t="n">
        <f aca="false">M9*R9</f>
        <v>731.564</v>
      </c>
      <c r="T9" s="2"/>
      <c r="U9" s="2" t="s">
        <v>210</v>
      </c>
    </row>
    <row r="10" customFormat="false" ht="15" hidden="false" customHeight="false" outlineLevel="0" collapsed="false">
      <c r="A10" s="2" t="s">
        <v>222</v>
      </c>
      <c r="B10" s="2" t="s">
        <v>223</v>
      </c>
      <c r="C10" s="2" t="s">
        <v>224</v>
      </c>
      <c r="D10" s="2" t="s">
        <v>225</v>
      </c>
      <c r="E10" s="39" t="s">
        <v>226</v>
      </c>
      <c r="F10" s="2" t="s">
        <v>197</v>
      </c>
      <c r="G10" s="2" t="n">
        <v>1</v>
      </c>
      <c r="H10" s="2" t="n">
        <v>0</v>
      </c>
      <c r="I10" s="2" t="n">
        <v>20</v>
      </c>
      <c r="J10" s="35" t="n">
        <v>2</v>
      </c>
      <c r="K10" s="6" t="n">
        <f aca="false">J10*Supuestos!C$5</f>
        <v>730</v>
      </c>
      <c r="L10" s="6" t="n">
        <f aca="false">IF(OR(U10="Resistors",U10="Capacitors"),ROUNDUP(K10*Supuestos!$B$16,0)+Supuestos!$B$17,ROUNDUP(K10*Supuestos!$B$18,0)+Supuestos!$B$19)</f>
        <v>9</v>
      </c>
      <c r="M10" s="6" t="n">
        <f aca="false">K10+L10</f>
        <v>739</v>
      </c>
      <c r="N10" s="33" t="n">
        <v>0.8299</v>
      </c>
      <c r="O10" s="22" t="n">
        <v>2769</v>
      </c>
      <c r="P10" s="6" t="n">
        <f aca="false">SUMIF(BOM_V56!$B:$B,B10,BOM_V56!$M:$M)+SUMIF(BOM_V57!$B:$B,B10,BOM_V57!$M:$M)+SUMIF(BOM_v6!$B:$B,B10,BOM_v6!$M:$M)</f>
        <v>1136</v>
      </c>
      <c r="Q10" s="2" t="str">
        <f aca="false">IF(P10&gt;O10,"SÍ","")</f>
        <v/>
      </c>
      <c r="R10" s="38" t="n">
        <f aca="false">N10*(1+IF(Q10="SÍ",Supuestos!$B$14,0))</f>
        <v>0.8299</v>
      </c>
      <c r="S10" s="10" t="n">
        <f aca="false">M10*R10</f>
        <v>613.2961</v>
      </c>
      <c r="T10" s="2"/>
      <c r="U10" s="2" t="s">
        <v>227</v>
      </c>
    </row>
    <row r="11" customFormat="false" ht="15" hidden="false" customHeight="false" outlineLevel="0" collapsed="false">
      <c r="A11" s="2" t="s">
        <v>228</v>
      </c>
      <c r="B11" s="2" t="s">
        <v>229</v>
      </c>
      <c r="C11" s="2" t="s">
        <v>230</v>
      </c>
      <c r="D11" s="2" t="s">
        <v>231</v>
      </c>
      <c r="E11" s="2" t="s">
        <v>232</v>
      </c>
      <c r="F11" s="2" t="s">
        <v>197</v>
      </c>
      <c r="G11" s="2" t="n">
        <v>0</v>
      </c>
      <c r="H11" s="2" t="n">
        <v>9</v>
      </c>
      <c r="I11" s="2" t="n">
        <v>0</v>
      </c>
      <c r="J11" s="35" t="n">
        <v>1</v>
      </c>
      <c r="K11" s="6" t="n">
        <f aca="false">J11*Supuestos!C$5</f>
        <v>365</v>
      </c>
      <c r="L11" s="6" t="n">
        <f aca="false">IF(OR(U11="Resistors",U11="Capacitors"),ROUNDUP(K11*Supuestos!$B$16,0)+Supuestos!$B$17,ROUNDUP(K11*Supuestos!$B$18,0)+Supuestos!$B$19)</f>
        <v>5</v>
      </c>
      <c r="M11" s="6" t="n">
        <f aca="false">K11+L11</f>
        <v>370</v>
      </c>
      <c r="N11" s="33" t="n">
        <v>1.2423</v>
      </c>
      <c r="O11" s="22" t="n">
        <v>1</v>
      </c>
      <c r="P11" s="6" t="n">
        <f aca="false">SUMIF(BOM_V56!$B:$B,B11,BOM_V56!$M:$M)+SUMIF(BOM_V57!$B:$B,B11,BOM_V57!$M:$M)+SUMIF(BOM_v6!$B:$B,B11,BOM_v6!$M:$M)</f>
        <v>570</v>
      </c>
      <c r="Q11" s="2" t="str">
        <f aca="false">IF(P11&gt;O11,"SÍ","")</f>
        <v>SÍ</v>
      </c>
      <c r="R11" s="38" t="n">
        <f aca="false">N11*(1+IF(Q11="SÍ",Supuestos!$B$14,0))</f>
        <v>1.428645</v>
      </c>
      <c r="S11" s="10" t="n">
        <f aca="false">M11*R11</f>
        <v>528.59865</v>
      </c>
      <c r="T11" s="2"/>
      <c r="U11" s="2" t="s">
        <v>216</v>
      </c>
    </row>
    <row r="12" customFormat="false" ht="15" hidden="false" customHeight="false" outlineLevel="0" collapsed="false">
      <c r="A12" s="2" t="s">
        <v>240</v>
      </c>
      <c r="B12" s="2" t="s">
        <v>241</v>
      </c>
      <c r="C12" s="2" t="s">
        <v>242</v>
      </c>
      <c r="D12" s="2" t="s">
        <v>208</v>
      </c>
      <c r="E12" s="2" t="s">
        <v>243</v>
      </c>
      <c r="F12" s="2" t="s">
        <v>197</v>
      </c>
      <c r="G12" s="2" t="n">
        <v>0</v>
      </c>
      <c r="H12" s="2" t="n">
        <v>16</v>
      </c>
      <c r="I12" s="2" t="n">
        <v>0</v>
      </c>
      <c r="J12" s="35" t="n">
        <v>1</v>
      </c>
      <c r="K12" s="6" t="n">
        <f aca="false">J12*Supuestos!C$5</f>
        <v>365</v>
      </c>
      <c r="L12" s="6" t="n">
        <f aca="false">IF(OR(U12="Resistors",U12="Capacitors"),ROUNDUP(K12*Supuestos!$B$16,0)+Supuestos!$B$17,ROUNDUP(K12*Supuestos!$B$18,0)+Supuestos!$B$19)</f>
        <v>5</v>
      </c>
      <c r="M12" s="6" t="n">
        <f aca="false">K12+L12</f>
        <v>370</v>
      </c>
      <c r="N12" s="33" t="n">
        <v>1.2505</v>
      </c>
      <c r="O12" s="22" t="n">
        <v>18198</v>
      </c>
      <c r="P12" s="6" t="n">
        <f aca="false">SUMIF(BOM_V56!$B:$B,B12,BOM_V56!$M:$M)+SUMIF(BOM_V57!$B:$B,B12,BOM_V57!$M:$M)+SUMIF(BOM_v6!$B:$B,B12,BOM_v6!$M:$M)</f>
        <v>570</v>
      </c>
      <c r="Q12" s="2" t="str">
        <f aca="false">IF(P12&gt;O12,"SÍ","")</f>
        <v/>
      </c>
      <c r="R12" s="38" t="n">
        <f aca="false">N12*(1+IF(Q12="SÍ",Supuestos!$B$14,0))</f>
        <v>1.2505</v>
      </c>
      <c r="S12" s="10" t="n">
        <f aca="false">M12*R12</f>
        <v>462.685</v>
      </c>
      <c r="T12" s="2"/>
      <c r="U12" s="2" t="s">
        <v>210</v>
      </c>
    </row>
    <row r="13" customFormat="false" ht="15" hidden="false" customHeight="false" outlineLevel="0" collapsed="false">
      <c r="A13" s="2" t="s">
        <v>244</v>
      </c>
      <c r="B13" s="2" t="s">
        <v>245</v>
      </c>
      <c r="C13" s="2" t="s">
        <v>246</v>
      </c>
      <c r="D13" s="2" t="s">
        <v>247</v>
      </c>
      <c r="E13" s="2" t="s">
        <v>248</v>
      </c>
      <c r="F13" s="2" t="s">
        <v>197</v>
      </c>
      <c r="G13" s="2" t="n">
        <v>0</v>
      </c>
      <c r="H13" s="2" t="n">
        <v>4</v>
      </c>
      <c r="I13" s="2" t="n">
        <v>0</v>
      </c>
      <c r="J13" s="35" t="n">
        <v>1</v>
      </c>
      <c r="K13" s="6" t="n">
        <f aca="false">J13*Supuestos!C$5</f>
        <v>365</v>
      </c>
      <c r="L13" s="6" t="n">
        <f aca="false">IF(OR(U13="Resistors",U13="Capacitors"),ROUNDUP(K13*Supuestos!$B$16,0)+Supuestos!$B$17,ROUNDUP(K13*Supuestos!$B$18,0)+Supuestos!$B$19)</f>
        <v>5</v>
      </c>
      <c r="M13" s="6" t="n">
        <f aca="false">K13+L13</f>
        <v>370</v>
      </c>
      <c r="N13" s="33" t="n">
        <v>1.185</v>
      </c>
      <c r="O13" s="22" t="n">
        <v>5836</v>
      </c>
      <c r="P13" s="6" t="n">
        <f aca="false">SUMIF(BOM_V56!$B:$B,B13,BOM_V56!$M:$M)+SUMIF(BOM_V57!$B:$B,B13,BOM_V57!$M:$M)+SUMIF(BOM_v6!$B:$B,B13,BOM_v6!$M:$M)</f>
        <v>570</v>
      </c>
      <c r="Q13" s="2" t="str">
        <f aca="false">IF(P13&gt;O13,"SÍ","")</f>
        <v/>
      </c>
      <c r="R13" s="38" t="n">
        <f aca="false">N13*(1+IF(Q13="SÍ",Supuestos!$B$14,0))</f>
        <v>1.185</v>
      </c>
      <c r="S13" s="10" t="n">
        <f aca="false">M13*R13</f>
        <v>438.45</v>
      </c>
      <c r="T13" s="2"/>
      <c r="U13" s="2" t="s">
        <v>249</v>
      </c>
    </row>
    <row r="14" customFormat="false" ht="15" hidden="false" customHeight="false" outlineLevel="0" collapsed="false">
      <c r="A14" s="2" t="s">
        <v>233</v>
      </c>
      <c r="B14" s="2" t="s">
        <v>234</v>
      </c>
      <c r="C14" s="2" t="s">
        <v>235</v>
      </c>
      <c r="D14" s="2" t="s">
        <v>236</v>
      </c>
      <c r="E14" s="2" t="s">
        <v>237</v>
      </c>
      <c r="F14" s="2" t="s">
        <v>238</v>
      </c>
      <c r="G14" s="2" t="n">
        <v>0</v>
      </c>
      <c r="H14" s="2" t="n">
        <v>2</v>
      </c>
      <c r="I14" s="2" t="n">
        <v>0</v>
      </c>
      <c r="J14" s="35" t="n">
        <v>10</v>
      </c>
      <c r="K14" s="6" t="n">
        <f aca="false">J14*Supuestos!C$5</f>
        <v>3650</v>
      </c>
      <c r="L14" s="6" t="n">
        <f aca="false">IF(OR(U14="Resistors",U14="Capacitors"),ROUNDUP(K14*Supuestos!$B$16,0)+Supuestos!$B$17,ROUNDUP(K14*Supuestos!$B$18,0)+Supuestos!$B$19)</f>
        <v>78</v>
      </c>
      <c r="M14" s="6" t="n">
        <f aca="false">K14+L14</f>
        <v>3728</v>
      </c>
      <c r="N14" s="33" t="n">
        <v>0.1131</v>
      </c>
      <c r="O14" s="22" t="n">
        <v>4117506</v>
      </c>
      <c r="P14" s="6" t="n">
        <f aca="false">SUMIF(BOM_V56!$B:$B,B14,BOM_V56!$M:$M)+SUMIF(BOM_V57!$B:$B,B14,BOM_V57!$M:$M)+SUMIF(BOM_v6!$B:$B,B14,BOM_v6!$M:$M)</f>
        <v>5110</v>
      </c>
      <c r="Q14" s="2" t="str">
        <f aca="false">IF(P14&gt;O14,"SÍ","")</f>
        <v/>
      </c>
      <c r="R14" s="38" t="n">
        <f aca="false">N14*(1+IF(Q14="SÍ",Supuestos!$B$14,0))</f>
        <v>0.1131</v>
      </c>
      <c r="S14" s="10" t="n">
        <f aca="false">M14*R14</f>
        <v>421.6368</v>
      </c>
      <c r="T14" s="2"/>
      <c r="U14" s="2" t="s">
        <v>239</v>
      </c>
    </row>
    <row r="15" customFormat="false" ht="15" hidden="false" customHeight="false" outlineLevel="0" collapsed="false">
      <c r="A15" s="2" t="s">
        <v>250</v>
      </c>
      <c r="B15" s="2" t="s">
        <v>251</v>
      </c>
      <c r="C15" s="2" t="s">
        <v>252</v>
      </c>
      <c r="D15" s="2" t="s">
        <v>253</v>
      </c>
      <c r="E15" s="39" t="s">
        <v>226</v>
      </c>
      <c r="F15" s="2" t="s">
        <v>197</v>
      </c>
      <c r="G15" s="2" t="n">
        <v>1</v>
      </c>
      <c r="H15" s="2" t="n">
        <v>0</v>
      </c>
      <c r="I15" s="2" t="n">
        <v>14</v>
      </c>
      <c r="J15" s="35" t="n">
        <v>1</v>
      </c>
      <c r="K15" s="6" t="n">
        <f aca="false">J15*Supuestos!C$5</f>
        <v>365</v>
      </c>
      <c r="L15" s="6" t="n">
        <f aca="false">IF(OR(U15="Resistors",U15="Capacitors"),ROUNDUP(K15*Supuestos!$B$16,0)+Supuestos!$B$17,ROUNDUP(K15*Supuestos!$B$18,0)+Supuestos!$B$19)</f>
        <v>5</v>
      </c>
      <c r="M15" s="6" t="n">
        <f aca="false">K15+L15</f>
        <v>370</v>
      </c>
      <c r="N15" s="33" t="n">
        <v>1.0197</v>
      </c>
      <c r="O15" s="22" t="n">
        <v>69838</v>
      </c>
      <c r="P15" s="6" t="n">
        <f aca="false">SUMIF(BOM_V56!$B:$B,B15,BOM_V56!$M:$M)+SUMIF(BOM_V57!$B:$B,B15,BOM_V57!$M:$M)+SUMIF(BOM_v6!$B:$B,B15,BOM_v6!$M:$M)</f>
        <v>570</v>
      </c>
      <c r="Q15" s="2" t="str">
        <f aca="false">IF(P15&gt;O15,"SÍ","")</f>
        <v/>
      </c>
      <c r="R15" s="38" t="n">
        <f aca="false">N15*(1+IF(Q15="SÍ",Supuestos!$B$14,0))</f>
        <v>1.0197</v>
      </c>
      <c r="S15" s="10" t="n">
        <f aca="false">M15*R15</f>
        <v>377.289</v>
      </c>
      <c r="T15" s="2"/>
      <c r="U15" s="2" t="s">
        <v>254</v>
      </c>
    </row>
    <row r="16" customFormat="false" ht="15" hidden="false" customHeight="false" outlineLevel="0" collapsed="false">
      <c r="A16" s="2" t="s">
        <v>591</v>
      </c>
      <c r="B16" s="2" t="s">
        <v>592</v>
      </c>
      <c r="C16" s="2" t="s">
        <v>593</v>
      </c>
      <c r="D16" s="2" t="s">
        <v>594</v>
      </c>
      <c r="E16" s="2" t="s">
        <v>595</v>
      </c>
      <c r="F16" s="2" t="s">
        <v>197</v>
      </c>
      <c r="G16" s="2" t="n">
        <v>0</v>
      </c>
      <c r="H16" s="2" t="n">
        <v>2</v>
      </c>
      <c r="I16" s="2" t="n">
        <v>0</v>
      </c>
      <c r="J16" s="35" t="n">
        <v>1</v>
      </c>
      <c r="K16" s="6" t="n">
        <f aca="false">J16*Supuestos!C$5</f>
        <v>365</v>
      </c>
      <c r="L16" s="6" t="n">
        <f aca="false">IF(OR(U16="Resistors",U16="Capacitors"),ROUNDUP(K16*Supuestos!$B$16,0)+Supuestos!$B$17,ROUNDUP(K16*Supuestos!$B$18,0)+Supuestos!$B$19)</f>
        <v>5</v>
      </c>
      <c r="M16" s="6" t="n">
        <f aca="false">K16+L16</f>
        <v>370</v>
      </c>
      <c r="N16" s="33" t="n">
        <v>0.8053</v>
      </c>
      <c r="O16" s="22" t="n">
        <v>0</v>
      </c>
      <c r="P16" s="6" t="n">
        <f aca="false">SUMIF(BOM_V56!$B:$B,B16,BOM_V56!$M:$M)+SUMIF(BOM_V57!$B:$B,B16,BOM_V57!$M:$M)+SUMIF(BOM_v6!$B:$B,B16,BOM_v6!$M:$M)</f>
        <v>432</v>
      </c>
      <c r="Q16" s="2" t="str">
        <f aca="false">IF(P16&gt;O16,"SÍ","")</f>
        <v>SÍ</v>
      </c>
      <c r="R16" s="38" t="n">
        <f aca="false">N16*(1+IF(Q16="SÍ",Supuestos!$B$14,0))</f>
        <v>0.926095</v>
      </c>
      <c r="S16" s="10" t="n">
        <f aca="false">M16*R16</f>
        <v>342.65515</v>
      </c>
      <c r="T16" s="2"/>
      <c r="U16" s="2" t="s">
        <v>596</v>
      </c>
    </row>
    <row r="17" customFormat="false" ht="15" hidden="false" customHeight="false" outlineLevel="0" collapsed="false">
      <c r="A17" s="2" t="s">
        <v>255</v>
      </c>
      <c r="B17" s="2" t="s">
        <v>256</v>
      </c>
      <c r="C17" s="2" t="s">
        <v>257</v>
      </c>
      <c r="D17" s="2" t="s">
        <v>258</v>
      </c>
      <c r="E17" s="2" t="s">
        <v>259</v>
      </c>
      <c r="F17" s="2" t="s">
        <v>197</v>
      </c>
      <c r="G17" s="2" t="n">
        <v>0</v>
      </c>
      <c r="H17" s="2" t="n">
        <v>6</v>
      </c>
      <c r="I17" s="2" t="n">
        <v>0</v>
      </c>
      <c r="J17" s="35" t="n">
        <v>2</v>
      </c>
      <c r="K17" s="6" t="n">
        <f aca="false">J17*Supuestos!C$5</f>
        <v>730</v>
      </c>
      <c r="L17" s="6" t="n">
        <f aca="false">IF(OR(U17="Resistors",U17="Capacitors"),ROUNDUP(K17*Supuestos!$B$16,0)+Supuestos!$B$17,ROUNDUP(K17*Supuestos!$B$18,0)+Supuestos!$B$19)</f>
        <v>9</v>
      </c>
      <c r="M17" s="6" t="n">
        <f aca="false">K17+L17</f>
        <v>739</v>
      </c>
      <c r="N17" s="33" t="n">
        <v>0.3798</v>
      </c>
      <c r="O17" s="22" t="n">
        <v>34765</v>
      </c>
      <c r="P17" s="6" t="n">
        <f aca="false">SUMIF(BOM_V56!$B:$B,B17,BOM_V56!$M:$M)+SUMIF(BOM_V57!$B:$B,B17,BOM_V57!$M:$M)+SUMIF(BOM_v6!$B:$B,B17,BOM_v6!$M:$M)</f>
        <v>1136</v>
      </c>
      <c r="Q17" s="2" t="str">
        <f aca="false">IF(P17&gt;O17,"SÍ","")</f>
        <v/>
      </c>
      <c r="R17" s="38" t="n">
        <f aca="false">N17*(1+IF(Q17="SÍ",Supuestos!$B$14,0))</f>
        <v>0.3798</v>
      </c>
      <c r="S17" s="10" t="n">
        <f aca="false">M17*R17</f>
        <v>280.6722</v>
      </c>
      <c r="T17" s="2"/>
      <c r="U17" s="2" t="s">
        <v>260</v>
      </c>
    </row>
    <row r="18" customFormat="false" ht="15" hidden="false" customHeight="false" outlineLevel="0" collapsed="false">
      <c r="A18" s="2" t="s">
        <v>261</v>
      </c>
      <c r="B18" s="2" t="s">
        <v>262</v>
      </c>
      <c r="C18" s="2" t="s">
        <v>263</v>
      </c>
      <c r="D18" s="2" t="s">
        <v>264</v>
      </c>
      <c r="E18" s="2" t="s">
        <v>237</v>
      </c>
      <c r="F18" s="2" t="s">
        <v>238</v>
      </c>
      <c r="G18" s="2" t="n">
        <v>0</v>
      </c>
      <c r="H18" s="2" t="n">
        <v>2</v>
      </c>
      <c r="I18" s="2" t="n">
        <v>0</v>
      </c>
      <c r="J18" s="35" t="n">
        <v>5</v>
      </c>
      <c r="K18" s="6" t="n">
        <f aca="false">J18*Supuestos!C$5</f>
        <v>1825</v>
      </c>
      <c r="L18" s="6" t="n">
        <f aca="false">IF(OR(U18="Resistors",U18="Capacitors"),ROUNDUP(K18*Supuestos!$B$16,0)+Supuestos!$B$17,ROUNDUP(K18*Supuestos!$B$18,0)+Supuestos!$B$19)</f>
        <v>42</v>
      </c>
      <c r="M18" s="6" t="n">
        <f aca="false">K18+L18</f>
        <v>1867</v>
      </c>
      <c r="N18" s="33" t="n">
        <v>0.1416</v>
      </c>
      <c r="O18" s="22" t="n">
        <v>1342998</v>
      </c>
      <c r="P18" s="6" t="n">
        <f aca="false">SUMIF(BOM_V56!$B:$B,B18,BOM_V56!$M:$M)+SUMIF(BOM_V57!$B:$B,B18,BOM_V57!$M:$M)+SUMIF(BOM_v6!$B:$B,B18,BOM_v6!$M:$M)</f>
        <v>3117</v>
      </c>
      <c r="Q18" s="2" t="str">
        <f aca="false">IF(P18&gt;O18,"SÍ","")</f>
        <v/>
      </c>
      <c r="R18" s="38" t="n">
        <f aca="false">N18*(1+IF(Q18="SÍ",Supuestos!$B$14,0))</f>
        <v>0.1416</v>
      </c>
      <c r="S18" s="10" t="n">
        <f aca="false">M18*R18</f>
        <v>264.3672</v>
      </c>
      <c r="T18" s="2"/>
      <c r="U18" s="2" t="s">
        <v>239</v>
      </c>
    </row>
    <row r="19" customFormat="false" ht="15" hidden="false" customHeight="false" outlineLevel="0" collapsed="false">
      <c r="A19" s="2" t="s">
        <v>265</v>
      </c>
      <c r="B19" s="2" t="s">
        <v>266</v>
      </c>
      <c r="C19" s="2" t="s">
        <v>267</v>
      </c>
      <c r="D19" s="2" t="s">
        <v>268</v>
      </c>
      <c r="E19" s="2" t="s">
        <v>269</v>
      </c>
      <c r="F19" s="2" t="s">
        <v>197</v>
      </c>
      <c r="G19" s="2" t="n">
        <v>1</v>
      </c>
      <c r="H19" s="2" t="n">
        <v>0</v>
      </c>
      <c r="I19" s="2" t="n">
        <v>6</v>
      </c>
      <c r="J19" s="35" t="n">
        <v>1</v>
      </c>
      <c r="K19" s="6" t="n">
        <f aca="false">J19*Supuestos!C$5</f>
        <v>365</v>
      </c>
      <c r="L19" s="6" t="n">
        <f aca="false">IF(OR(U19="Resistors",U19="Capacitors"),ROUNDUP(K19*Supuestos!$B$16,0)+Supuestos!$B$17,ROUNDUP(K19*Supuestos!$B$18,0)+Supuestos!$B$19)</f>
        <v>5</v>
      </c>
      <c r="M19" s="6" t="n">
        <f aca="false">K19+L19</f>
        <v>370</v>
      </c>
      <c r="N19" s="33" t="n">
        <v>0.7006</v>
      </c>
      <c r="O19" s="22" t="n">
        <v>7521</v>
      </c>
      <c r="P19" s="6" t="n">
        <f aca="false">SUMIF(BOM_V56!$B:$B,B19,BOM_V56!$M:$M)+SUMIF(BOM_V57!$B:$B,B19,BOM_V57!$M:$M)+SUMIF(BOM_v6!$B:$B,B19,BOM_v6!$M:$M)</f>
        <v>508</v>
      </c>
      <c r="Q19" s="2" t="str">
        <f aca="false">IF(P19&gt;O19,"SÍ","")</f>
        <v/>
      </c>
      <c r="R19" s="38" t="n">
        <f aca="false">N19*(1+IF(Q19="SÍ",Supuestos!$B$14,0))</f>
        <v>0.7006</v>
      </c>
      <c r="S19" s="10" t="n">
        <f aca="false">M19*R19</f>
        <v>259.222</v>
      </c>
      <c r="T19" s="2"/>
      <c r="U19" s="2" t="s">
        <v>270</v>
      </c>
    </row>
    <row r="20" customFormat="false" ht="15" hidden="false" customHeight="false" outlineLevel="0" collapsed="false">
      <c r="A20" s="2" t="s">
        <v>597</v>
      </c>
      <c r="B20" s="2" t="s">
        <v>308</v>
      </c>
      <c r="C20" s="2" t="s">
        <v>309</v>
      </c>
      <c r="D20" s="2" t="s">
        <v>310</v>
      </c>
      <c r="E20" s="2" t="s">
        <v>311</v>
      </c>
      <c r="F20" s="2" t="s">
        <v>197</v>
      </c>
      <c r="G20" s="2" t="n">
        <v>0</v>
      </c>
      <c r="H20" s="2" t="n">
        <v>2</v>
      </c>
      <c r="I20" s="2" t="n">
        <v>0</v>
      </c>
      <c r="J20" s="35" t="n">
        <v>4</v>
      </c>
      <c r="K20" s="6" t="n">
        <f aca="false">J20*Supuestos!C$5</f>
        <v>1460</v>
      </c>
      <c r="L20" s="6" t="n">
        <f aca="false">IF(OR(U20="Resistors",U20="Capacitors"),ROUNDUP(K20*Supuestos!$B$16,0)+Supuestos!$B$17,ROUNDUP(K20*Supuestos!$B$18,0)+Supuestos!$B$19)</f>
        <v>35</v>
      </c>
      <c r="M20" s="6" t="n">
        <f aca="false">K20+L20</f>
        <v>1495</v>
      </c>
      <c r="N20" s="33" t="n">
        <v>0.122</v>
      </c>
      <c r="O20" s="22" t="n">
        <v>151177</v>
      </c>
      <c r="P20" s="6" t="n">
        <f aca="false">SUMIF(BOM_V56!$B:$B,B20,BOM_V56!$M:$M)+SUMIF(BOM_V57!$B:$B,B20,BOM_V57!$M:$M)+SUMIF(BOM_v6!$B:$B,B20,BOM_v6!$M:$M)</f>
        <v>2149</v>
      </c>
      <c r="Q20" s="2" t="str">
        <f aca="false">IF(P20&gt;O20,"SÍ","")</f>
        <v/>
      </c>
      <c r="R20" s="38" t="n">
        <f aca="false">N20*(1+IF(Q20="SÍ",Supuestos!$B$14,0))</f>
        <v>0.122</v>
      </c>
      <c r="S20" s="10" t="n">
        <f aca="false">M20*R20</f>
        <v>182.39</v>
      </c>
      <c r="T20" s="2"/>
      <c r="U20" s="2" t="s">
        <v>239</v>
      </c>
    </row>
    <row r="21" customFormat="false" ht="15" hidden="false" customHeight="false" outlineLevel="0" collapsed="false">
      <c r="A21" s="2" t="s">
        <v>598</v>
      </c>
      <c r="B21" s="2" t="s">
        <v>599</v>
      </c>
      <c r="C21" s="2" t="s">
        <v>600</v>
      </c>
      <c r="D21" s="2" t="s">
        <v>258</v>
      </c>
      <c r="E21" s="2" t="s">
        <v>215</v>
      </c>
      <c r="F21" s="2" t="s">
        <v>197</v>
      </c>
      <c r="G21" s="2" t="n">
        <v>0</v>
      </c>
      <c r="H21" s="2" t="n">
        <v>9</v>
      </c>
      <c r="I21" s="2" t="n">
        <v>0</v>
      </c>
      <c r="J21" s="35" t="n">
        <v>1</v>
      </c>
      <c r="K21" s="6" t="n">
        <f aca="false">J21*Supuestos!C$5</f>
        <v>365</v>
      </c>
      <c r="L21" s="6" t="n">
        <f aca="false">IF(OR(U21="Resistors",U21="Capacitors"),ROUNDUP(K21*Supuestos!$B$16,0)+Supuestos!$B$17,ROUNDUP(K21*Supuestos!$B$18,0)+Supuestos!$B$19)</f>
        <v>5</v>
      </c>
      <c r="M21" s="6" t="n">
        <f aca="false">K21+L21</f>
        <v>370</v>
      </c>
      <c r="N21" s="33" t="n">
        <v>0.4649</v>
      </c>
      <c r="O21" s="22" t="n">
        <v>57418</v>
      </c>
      <c r="P21" s="6" t="n">
        <f aca="false">SUMIF(BOM_V56!$B:$B,B21,BOM_V56!$M:$M)+SUMIF(BOM_V57!$B:$B,B21,BOM_V57!$M:$M)+SUMIF(BOM_v6!$B:$B,B21,BOM_v6!$M:$M)</f>
        <v>432</v>
      </c>
      <c r="Q21" s="2" t="str">
        <f aca="false">IF(P21&gt;O21,"SÍ","")</f>
        <v/>
      </c>
      <c r="R21" s="38" t="n">
        <f aca="false">N21*(1+IF(Q21="SÍ",Supuestos!$B$14,0))</f>
        <v>0.4649</v>
      </c>
      <c r="S21" s="10" t="n">
        <f aca="false">M21*R21</f>
        <v>172.013</v>
      </c>
      <c r="T21" s="2"/>
      <c r="U21" s="2" t="s">
        <v>216</v>
      </c>
    </row>
    <row r="22" customFormat="false" ht="15" hidden="false" customHeight="false" outlineLevel="0" collapsed="false">
      <c r="A22" s="2" t="s">
        <v>271</v>
      </c>
      <c r="B22" s="2" t="s">
        <v>272</v>
      </c>
      <c r="C22" s="2" t="s">
        <v>273</v>
      </c>
      <c r="D22" s="2" t="s">
        <v>274</v>
      </c>
      <c r="E22" s="2" t="s">
        <v>275</v>
      </c>
      <c r="F22" s="2" t="s">
        <v>197</v>
      </c>
      <c r="G22" s="2" t="n">
        <v>0</v>
      </c>
      <c r="H22" s="2" t="n">
        <v>2</v>
      </c>
      <c r="I22" s="2" t="n">
        <v>0</v>
      </c>
      <c r="J22" s="35" t="n">
        <v>3</v>
      </c>
      <c r="K22" s="6" t="n">
        <f aca="false">J22*Supuestos!C$5</f>
        <v>1095</v>
      </c>
      <c r="L22" s="6" t="n">
        <f aca="false">IF(OR(U22="Resistors",U22="Capacitors"),ROUNDUP(K22*Supuestos!$B$16,0)+Supuestos!$B$17,ROUNDUP(K22*Supuestos!$B$18,0)+Supuestos!$B$19)</f>
        <v>27</v>
      </c>
      <c r="M22" s="6" t="n">
        <f aca="false">K22+L22</f>
        <v>1122</v>
      </c>
      <c r="N22" s="33" t="n">
        <v>0.1426</v>
      </c>
      <c r="O22" s="22" t="n">
        <v>97221</v>
      </c>
      <c r="P22" s="6" t="n">
        <f aca="false">SUMIF(BOM_V56!$B:$B,B22,BOM_V56!$M:$M)+SUMIF(BOM_V57!$B:$B,B22,BOM_V57!$M:$M)+SUMIF(BOM_v6!$B:$B,B22,BOM_v6!$M:$M)</f>
        <v>1791</v>
      </c>
      <c r="Q22" s="2" t="str">
        <f aca="false">IF(P22&gt;O22,"SÍ","")</f>
        <v/>
      </c>
      <c r="R22" s="38" t="n">
        <f aca="false">N22*(1+IF(Q22="SÍ",Supuestos!$B$14,0))</f>
        <v>0.1426</v>
      </c>
      <c r="S22" s="10" t="n">
        <f aca="false">M22*R22</f>
        <v>159.9972</v>
      </c>
      <c r="T22" s="2"/>
      <c r="U22" s="2" t="s">
        <v>239</v>
      </c>
    </row>
    <row r="23" customFormat="false" ht="15" hidden="false" customHeight="false" outlineLevel="0" collapsed="false">
      <c r="A23" s="2" t="s">
        <v>282</v>
      </c>
      <c r="B23" s="2" t="s">
        <v>283</v>
      </c>
      <c r="C23" s="2" t="s">
        <v>284</v>
      </c>
      <c r="D23" s="2" t="s">
        <v>258</v>
      </c>
      <c r="E23" s="2" t="s">
        <v>285</v>
      </c>
      <c r="F23" s="2" t="s">
        <v>197</v>
      </c>
      <c r="G23" s="2" t="n">
        <v>0</v>
      </c>
      <c r="H23" s="2" t="n">
        <v>16</v>
      </c>
      <c r="I23" s="2" t="n">
        <v>0</v>
      </c>
      <c r="J23" s="35" t="n">
        <v>1</v>
      </c>
      <c r="K23" s="6" t="n">
        <f aca="false">J23*Supuestos!C$5</f>
        <v>365</v>
      </c>
      <c r="L23" s="6" t="n">
        <f aca="false">IF(OR(U23="Resistors",U23="Capacitors"),ROUNDUP(K23*Supuestos!$B$16,0)+Supuestos!$B$17,ROUNDUP(K23*Supuestos!$B$18,0)+Supuestos!$B$19)</f>
        <v>5</v>
      </c>
      <c r="M23" s="6" t="n">
        <f aca="false">K23+L23</f>
        <v>370</v>
      </c>
      <c r="N23" s="33" t="n">
        <v>0.3421</v>
      </c>
      <c r="O23" s="22" t="n">
        <v>3691</v>
      </c>
      <c r="P23" s="6" t="n">
        <f aca="false">SUMIF(BOM_V56!$B:$B,B23,BOM_V56!$M:$M)+SUMIF(BOM_V57!$B:$B,B23,BOM_V57!$M:$M)+SUMIF(BOM_v6!$B:$B,B23,BOM_v6!$M:$M)</f>
        <v>570</v>
      </c>
      <c r="Q23" s="2" t="str">
        <f aca="false">IF(P23&gt;O23,"SÍ","")</f>
        <v/>
      </c>
      <c r="R23" s="38" t="n">
        <f aca="false">N23*(1+IF(Q23="SÍ",Supuestos!$B$14,0))</f>
        <v>0.3421</v>
      </c>
      <c r="S23" s="10" t="n">
        <f aca="false">M23*R23</f>
        <v>126.577</v>
      </c>
      <c r="T23" s="2"/>
      <c r="U23" s="2" t="s">
        <v>210</v>
      </c>
    </row>
    <row r="24" customFormat="false" ht="15" hidden="false" customHeight="false" outlineLevel="0" collapsed="false">
      <c r="A24" s="2" t="s">
        <v>286</v>
      </c>
      <c r="B24" s="2" t="s">
        <v>287</v>
      </c>
      <c r="C24" s="2" t="s">
        <v>288</v>
      </c>
      <c r="D24" s="2" t="s">
        <v>289</v>
      </c>
      <c r="E24" s="2" t="s">
        <v>290</v>
      </c>
      <c r="F24" s="2" t="s">
        <v>197</v>
      </c>
      <c r="G24" s="2" t="n">
        <v>0</v>
      </c>
      <c r="H24" s="2" t="n">
        <v>8</v>
      </c>
      <c r="I24" s="2" t="n">
        <v>0</v>
      </c>
      <c r="J24" s="35" t="n">
        <v>1</v>
      </c>
      <c r="K24" s="6" t="n">
        <f aca="false">J24*Supuestos!C$5</f>
        <v>365</v>
      </c>
      <c r="L24" s="6" t="n">
        <f aca="false">IF(OR(U24="Resistors",U24="Capacitors"),ROUNDUP(K24*Supuestos!$B$16,0)+Supuestos!$B$17,ROUNDUP(K24*Supuestos!$B$18,0)+Supuestos!$B$19)</f>
        <v>5</v>
      </c>
      <c r="M24" s="6" t="n">
        <f aca="false">K24+L24</f>
        <v>370</v>
      </c>
      <c r="N24" s="33" t="n">
        <v>0.2914</v>
      </c>
      <c r="O24" s="22" t="n">
        <v>0</v>
      </c>
      <c r="P24" s="6" t="n">
        <f aca="false">SUMIF(BOM_V56!$B:$B,B24,BOM_V56!$M:$M)+SUMIF(BOM_V57!$B:$B,B24,BOM_V57!$M:$M)+SUMIF(BOM_v6!$B:$B,B24,BOM_v6!$M:$M)</f>
        <v>570</v>
      </c>
      <c r="Q24" s="2" t="str">
        <f aca="false">IF(P24&gt;O24,"SÍ","")</f>
        <v>SÍ</v>
      </c>
      <c r="R24" s="38" t="n">
        <f aca="false">N24*(1+IF(Q24="SÍ",Supuestos!$B$14,0))</f>
        <v>0.33511</v>
      </c>
      <c r="S24" s="10" t="n">
        <f aca="false">M24*R24</f>
        <v>123.9907</v>
      </c>
      <c r="T24" s="2"/>
      <c r="U24" s="2" t="s">
        <v>291</v>
      </c>
    </row>
    <row r="25" customFormat="false" ht="15" hidden="false" customHeight="false" outlineLevel="0" collapsed="false">
      <c r="A25" s="2" t="s">
        <v>298</v>
      </c>
      <c r="B25" s="2" t="s">
        <v>299</v>
      </c>
      <c r="C25" s="2" t="s">
        <v>300</v>
      </c>
      <c r="D25" s="2" t="s">
        <v>301</v>
      </c>
      <c r="E25" s="39" t="s">
        <v>302</v>
      </c>
      <c r="F25" s="2" t="s">
        <v>197</v>
      </c>
      <c r="G25" s="2" t="n">
        <v>1</v>
      </c>
      <c r="H25" s="2" t="n">
        <v>0</v>
      </c>
      <c r="I25" s="2" t="n">
        <v>5</v>
      </c>
      <c r="J25" s="35" t="n">
        <v>1</v>
      </c>
      <c r="K25" s="6" t="n">
        <f aca="false">J25*Supuestos!C$5</f>
        <v>365</v>
      </c>
      <c r="L25" s="6" t="n">
        <f aca="false">IF(OR(U25="Resistors",U25="Capacitors"),ROUNDUP(K25*Supuestos!$B$16,0)+Supuestos!$B$17,ROUNDUP(K25*Supuestos!$B$18,0)+Supuestos!$B$19)</f>
        <v>5</v>
      </c>
      <c r="M25" s="6" t="n">
        <f aca="false">K25+L25</f>
        <v>370</v>
      </c>
      <c r="N25" s="33" t="n">
        <v>0.3225</v>
      </c>
      <c r="O25" s="22" t="n">
        <v>8013</v>
      </c>
      <c r="P25" s="6" t="n">
        <f aca="false">SUMIF(BOM_V56!$B:$B,B25,BOM_V56!$M:$M)+SUMIF(BOM_V57!$B:$B,B25,BOM_V57!$M:$M)+SUMIF(BOM_v6!$B:$B,B25,BOM_v6!$M:$M)</f>
        <v>570</v>
      </c>
      <c r="Q25" s="2" t="str">
        <f aca="false">IF(P25&gt;O25,"SÍ","")</f>
        <v/>
      </c>
      <c r="R25" s="38" t="n">
        <f aca="false">N25*(1+IF(Q25="SÍ",Supuestos!$B$14,0))</f>
        <v>0.3225</v>
      </c>
      <c r="S25" s="10" t="n">
        <f aca="false">M25*R25</f>
        <v>119.325</v>
      </c>
      <c r="T25" s="2"/>
      <c r="U25" s="2" t="s">
        <v>254</v>
      </c>
    </row>
    <row r="26" customFormat="false" ht="15" hidden="false" customHeight="false" outlineLevel="0" collapsed="false">
      <c r="A26" s="2" t="s">
        <v>292</v>
      </c>
      <c r="B26" s="2" t="s">
        <v>293</v>
      </c>
      <c r="C26" s="2" t="s">
        <v>294</v>
      </c>
      <c r="D26" s="2" t="s">
        <v>295</v>
      </c>
      <c r="E26" s="2" t="s">
        <v>296</v>
      </c>
      <c r="F26" s="2" t="s">
        <v>197</v>
      </c>
      <c r="G26" s="2" t="n">
        <v>0</v>
      </c>
      <c r="H26" s="2" t="n">
        <v>12</v>
      </c>
      <c r="I26" s="2" t="n">
        <v>0</v>
      </c>
      <c r="J26" s="35" t="n">
        <v>1</v>
      </c>
      <c r="K26" s="6" t="n">
        <f aca="false">J26*Supuestos!C$5</f>
        <v>365</v>
      </c>
      <c r="L26" s="6" t="n">
        <f aca="false">IF(OR(U26="Resistors",U26="Capacitors"),ROUNDUP(K26*Supuestos!$B$16,0)+Supuestos!$B$17,ROUNDUP(K26*Supuestos!$B$18,0)+Supuestos!$B$19)</f>
        <v>5</v>
      </c>
      <c r="M26" s="6" t="n">
        <f aca="false">K26+L26</f>
        <v>370</v>
      </c>
      <c r="N26" s="33" t="n">
        <v>0.2465</v>
      </c>
      <c r="O26" s="22" t="n">
        <v>2</v>
      </c>
      <c r="P26" s="6" t="n">
        <f aca="false">SUMIF(BOM_V56!$B:$B,B26,BOM_V56!$M:$M)+SUMIF(BOM_V57!$B:$B,B26,BOM_V57!$M:$M)+SUMIF(BOM_v6!$B:$B,B26,BOM_v6!$M:$M)</f>
        <v>570</v>
      </c>
      <c r="Q26" s="2" t="str">
        <f aca="false">IF(P26&gt;O26,"SÍ","")</f>
        <v>SÍ</v>
      </c>
      <c r="R26" s="38" t="n">
        <f aca="false">N26*(1+IF(Q26="SÍ",Supuestos!$B$14,0))</f>
        <v>0.283475</v>
      </c>
      <c r="S26" s="10" t="n">
        <f aca="false">M26*R26</f>
        <v>104.88575</v>
      </c>
      <c r="T26" s="2" t="s">
        <v>297</v>
      </c>
      <c r="U26" s="2" t="s">
        <v>260</v>
      </c>
    </row>
    <row r="27" customFormat="false" ht="15" hidden="false" customHeight="false" outlineLevel="0" collapsed="false">
      <c r="A27" s="2" t="s">
        <v>303</v>
      </c>
      <c r="B27" s="2" t="s">
        <v>304</v>
      </c>
      <c r="C27" s="2" t="s">
        <v>305</v>
      </c>
      <c r="D27" s="2" t="s">
        <v>258</v>
      </c>
      <c r="E27" s="2" t="s">
        <v>306</v>
      </c>
      <c r="F27" s="2" t="s">
        <v>197</v>
      </c>
      <c r="G27" s="2" t="n">
        <v>0</v>
      </c>
      <c r="H27" s="2" t="n">
        <v>4</v>
      </c>
      <c r="I27" s="2" t="n">
        <v>0</v>
      </c>
      <c r="J27" s="35" t="n">
        <v>1</v>
      </c>
      <c r="K27" s="6" t="n">
        <f aca="false">J27*Supuestos!C$5</f>
        <v>365</v>
      </c>
      <c r="L27" s="6" t="n">
        <f aca="false">IF(OR(U27="Resistors",U27="Capacitors"),ROUNDUP(K27*Supuestos!$B$16,0)+Supuestos!$B$17,ROUNDUP(K27*Supuestos!$B$18,0)+Supuestos!$B$19)</f>
        <v>5</v>
      </c>
      <c r="M27" s="6" t="n">
        <f aca="false">K27+L27</f>
        <v>370</v>
      </c>
      <c r="N27" s="33" t="n">
        <v>0.2505</v>
      </c>
      <c r="O27" s="22" t="n">
        <v>23654</v>
      </c>
      <c r="P27" s="6" t="n">
        <f aca="false">SUMIF(BOM_V56!$B:$B,B27,BOM_V56!$M:$M)+SUMIF(BOM_V57!$B:$B,B27,BOM_V57!$M:$M)+SUMIF(BOM_v6!$B:$B,B27,BOM_v6!$M:$M)</f>
        <v>570</v>
      </c>
      <c r="Q27" s="2" t="str">
        <f aca="false">IF(P27&gt;O27,"SÍ","")</f>
        <v/>
      </c>
      <c r="R27" s="38" t="n">
        <f aca="false">N27*(1+IF(Q27="SÍ",Supuestos!$B$14,0))</f>
        <v>0.2505</v>
      </c>
      <c r="S27" s="10" t="n">
        <f aca="false">M27*R27</f>
        <v>92.685</v>
      </c>
      <c r="T27" s="2"/>
      <c r="U27" s="2" t="s">
        <v>216</v>
      </c>
    </row>
    <row r="28" customFormat="false" ht="15" hidden="false" customHeight="false" outlineLevel="0" collapsed="false">
      <c r="A28" s="2" t="s">
        <v>601</v>
      </c>
      <c r="B28" s="2" t="s">
        <v>313</v>
      </c>
      <c r="C28" s="2" t="s">
        <v>314</v>
      </c>
      <c r="D28" s="2" t="s">
        <v>315</v>
      </c>
      <c r="E28" s="2" t="s">
        <v>316</v>
      </c>
      <c r="F28" s="2" t="s">
        <v>238</v>
      </c>
      <c r="G28" s="2" t="n">
        <v>0</v>
      </c>
      <c r="H28" s="2" t="n">
        <v>2</v>
      </c>
      <c r="I28" s="2" t="n">
        <v>0</v>
      </c>
      <c r="J28" s="35" t="n">
        <v>28</v>
      </c>
      <c r="K28" s="6" t="n">
        <f aca="false">J28*Supuestos!C$5</f>
        <v>10220</v>
      </c>
      <c r="L28" s="6" t="n">
        <f aca="false">IF(OR(U28="Resistors",U28="Capacitors"),ROUNDUP(K28*Supuestos!$B$16,0)+Supuestos!$B$17,ROUNDUP(K28*Supuestos!$B$18,0)+Supuestos!$B$19)</f>
        <v>210</v>
      </c>
      <c r="M28" s="6" t="n">
        <f aca="false">K28+L28</f>
        <v>10430</v>
      </c>
      <c r="N28" s="33" t="n">
        <v>0.0084</v>
      </c>
      <c r="O28" s="22" t="n">
        <v>42847894</v>
      </c>
      <c r="P28" s="6" t="n">
        <f aca="false">SUMIF(BOM_V56!$B:$B,B28,BOM_V56!$M:$M)+SUMIF(BOM_V57!$B:$B,B28,BOM_V57!$M:$M)+SUMIF(BOM_v6!$B:$B,B28,BOM_v6!$M:$M)</f>
        <v>16117</v>
      </c>
      <c r="Q28" s="2" t="str">
        <f aca="false">IF(P28&gt;O28,"SÍ","")</f>
        <v/>
      </c>
      <c r="R28" s="38" t="n">
        <f aca="false">N28*(1+IF(Q28="SÍ",Supuestos!$B$14,0))</f>
        <v>0.0084</v>
      </c>
      <c r="S28" s="10" t="n">
        <f aca="false">M28*R28</f>
        <v>87.612</v>
      </c>
      <c r="T28" s="2"/>
      <c r="U28" s="2" t="s">
        <v>239</v>
      </c>
    </row>
    <row r="29" customFormat="false" ht="15" hidden="false" customHeight="false" outlineLevel="0" collapsed="false">
      <c r="A29" s="2" t="s">
        <v>317</v>
      </c>
      <c r="B29" s="2" t="s">
        <v>318</v>
      </c>
      <c r="C29" s="2" t="s">
        <v>319</v>
      </c>
      <c r="D29" s="2" t="s">
        <v>279</v>
      </c>
      <c r="E29" s="2" t="s">
        <v>280</v>
      </c>
      <c r="F29" s="2" t="s">
        <v>197</v>
      </c>
      <c r="G29" s="2" t="n">
        <v>0</v>
      </c>
      <c r="H29" s="2" t="n">
        <v>2</v>
      </c>
      <c r="I29" s="2" t="n">
        <v>0</v>
      </c>
      <c r="J29" s="35" t="n">
        <v>1</v>
      </c>
      <c r="K29" s="6" t="n">
        <f aca="false">J29*Supuestos!C$5</f>
        <v>365</v>
      </c>
      <c r="L29" s="6" t="n">
        <f aca="false">IF(OR(U29="Resistors",U29="Capacitors"),ROUNDUP(K29*Supuestos!$B$16,0)+Supuestos!$B$17,ROUNDUP(K29*Supuestos!$B$18,0)+Supuestos!$B$19)</f>
        <v>5</v>
      </c>
      <c r="M29" s="6" t="n">
        <f aca="false">K29+L29</f>
        <v>370</v>
      </c>
      <c r="N29" s="33" t="n">
        <v>0.1996</v>
      </c>
      <c r="O29" s="22" t="n">
        <v>0</v>
      </c>
      <c r="P29" s="6" t="n">
        <f aca="false">SUMIF(BOM_V56!$B:$B,B29,BOM_V56!$M:$M)+SUMIF(BOM_V57!$B:$B,B29,BOM_V57!$M:$M)+SUMIF(BOM_v6!$B:$B,B29,BOM_v6!$M:$M)</f>
        <v>570</v>
      </c>
      <c r="Q29" s="2" t="str">
        <f aca="false">IF(P29&gt;O29,"SÍ","")</f>
        <v>SÍ</v>
      </c>
      <c r="R29" s="38" t="n">
        <f aca="false">N29*(1+IF(Q29="SÍ",Supuestos!$B$14,0))</f>
        <v>0.22954</v>
      </c>
      <c r="S29" s="10" t="n">
        <f aca="false">M29*R29</f>
        <v>84.9298</v>
      </c>
      <c r="T29" s="2"/>
      <c r="U29" s="2" t="s">
        <v>281</v>
      </c>
    </row>
    <row r="30" customFormat="false" ht="15" hidden="false" customHeight="false" outlineLevel="0" collapsed="false">
      <c r="A30" s="2" t="s">
        <v>334</v>
      </c>
      <c r="B30" s="2" t="s">
        <v>335</v>
      </c>
      <c r="C30" s="2" t="s">
        <v>336</v>
      </c>
      <c r="D30" s="2" t="s">
        <v>337</v>
      </c>
      <c r="E30" s="2" t="s">
        <v>338</v>
      </c>
      <c r="F30" s="2" t="s">
        <v>197</v>
      </c>
      <c r="G30" s="2" t="n">
        <v>0</v>
      </c>
      <c r="H30" s="2" t="n">
        <v>3</v>
      </c>
      <c r="I30" s="2" t="n">
        <v>0</v>
      </c>
      <c r="J30" s="35" t="n">
        <v>1</v>
      </c>
      <c r="K30" s="6" t="n">
        <f aca="false">J30*Supuestos!C$5</f>
        <v>365</v>
      </c>
      <c r="L30" s="6" t="n">
        <f aca="false">IF(OR(U30="Resistors",U30="Capacitors"),ROUNDUP(K30*Supuestos!$B$16,0)+Supuestos!$B$17,ROUNDUP(K30*Supuestos!$B$18,0)+Supuestos!$B$19)</f>
        <v>5</v>
      </c>
      <c r="M30" s="6" t="n">
        <f aca="false">K30+L30</f>
        <v>370</v>
      </c>
      <c r="N30" s="33" t="n">
        <v>0.2243</v>
      </c>
      <c r="O30" s="22" t="n">
        <v>20437</v>
      </c>
      <c r="P30" s="6" t="n">
        <f aca="false">SUMIF(BOM_V56!$B:$B,B30,BOM_V56!$M:$M)+SUMIF(BOM_V57!$B:$B,B30,BOM_V57!$M:$M)+SUMIF(BOM_v6!$B:$B,B30,BOM_v6!$M:$M)</f>
        <v>570</v>
      </c>
      <c r="Q30" s="2" t="str">
        <f aca="false">IF(P30&gt;O30,"SÍ","")</f>
        <v/>
      </c>
      <c r="R30" s="38" t="n">
        <f aca="false">N30*(1+IF(Q30="SÍ",Supuestos!$B$14,0))</f>
        <v>0.2243</v>
      </c>
      <c r="S30" s="10" t="n">
        <f aca="false">M30*R30</f>
        <v>82.991</v>
      </c>
      <c r="T30" s="2"/>
      <c r="U30" s="2" t="s">
        <v>291</v>
      </c>
    </row>
    <row r="31" customFormat="false" ht="15" hidden="false" customHeight="false" outlineLevel="0" collapsed="false">
      <c r="A31" s="2" t="s">
        <v>328</v>
      </c>
      <c r="B31" s="2" t="s">
        <v>329</v>
      </c>
      <c r="C31" s="2" t="s">
        <v>330</v>
      </c>
      <c r="D31" s="2" t="s">
        <v>331</v>
      </c>
      <c r="E31" s="2" t="s">
        <v>332</v>
      </c>
      <c r="F31" s="2" t="s">
        <v>197</v>
      </c>
      <c r="G31" s="2" t="n">
        <v>0</v>
      </c>
      <c r="H31" s="2" t="n">
        <v>2</v>
      </c>
      <c r="I31" s="2" t="n">
        <v>0</v>
      </c>
      <c r="J31" s="35" t="n">
        <v>1</v>
      </c>
      <c r="K31" s="6" t="n">
        <f aca="false">J31*Supuestos!C$5</f>
        <v>365</v>
      </c>
      <c r="L31" s="6" t="n">
        <f aca="false">IF(OR(U31="Resistors",U31="Capacitors"),ROUNDUP(K31*Supuestos!$B$16,0)+Supuestos!$B$17,ROUNDUP(K31*Supuestos!$B$18,0)+Supuestos!$B$19)</f>
        <v>5</v>
      </c>
      <c r="M31" s="6" t="n">
        <f aca="false">K31+L31</f>
        <v>370</v>
      </c>
      <c r="N31" s="33" t="n">
        <v>0.2194</v>
      </c>
      <c r="O31" s="22" t="n">
        <v>2457</v>
      </c>
      <c r="P31" s="6" t="n">
        <f aca="false">SUMIF(BOM_V56!$B:$B,B31,BOM_V56!$M:$M)+SUMIF(BOM_V57!$B:$B,B31,BOM_V57!$M:$M)+SUMIF(BOM_v6!$B:$B,B31,BOM_v6!$M:$M)</f>
        <v>508</v>
      </c>
      <c r="Q31" s="2" t="str">
        <f aca="false">IF(P31&gt;O31,"SÍ","")</f>
        <v/>
      </c>
      <c r="R31" s="38" t="n">
        <f aca="false">N31*(1+IF(Q31="SÍ",Supuestos!$B$14,0))</f>
        <v>0.2194</v>
      </c>
      <c r="S31" s="10" t="n">
        <f aca="false">M31*R31</f>
        <v>81.178</v>
      </c>
      <c r="T31" s="2"/>
      <c r="U31" s="2" t="s">
        <v>333</v>
      </c>
    </row>
    <row r="32" customFormat="false" ht="15" hidden="false" customHeight="false" outlineLevel="0" collapsed="false">
      <c r="A32" s="2" t="s">
        <v>320</v>
      </c>
      <c r="B32" s="2" t="s">
        <v>321</v>
      </c>
      <c r="C32" s="2" t="s">
        <v>322</v>
      </c>
      <c r="D32" s="2" t="s">
        <v>323</v>
      </c>
      <c r="E32" s="39" t="s">
        <v>324</v>
      </c>
      <c r="F32" s="2" t="s">
        <v>197</v>
      </c>
      <c r="G32" s="2" t="n">
        <v>1</v>
      </c>
      <c r="H32" s="2" t="n">
        <v>0</v>
      </c>
      <c r="I32" s="2" t="n">
        <v>3</v>
      </c>
      <c r="J32" s="35" t="n">
        <v>2</v>
      </c>
      <c r="K32" s="6" t="n">
        <f aca="false">J32*Supuestos!C$5</f>
        <v>730</v>
      </c>
      <c r="L32" s="6" t="n">
        <f aca="false">IF(OR(U32="Resistors",U32="Capacitors"),ROUNDUP(K32*Supuestos!$B$16,0)+Supuestos!$B$17,ROUNDUP(K32*Supuestos!$B$18,0)+Supuestos!$B$19)</f>
        <v>9</v>
      </c>
      <c r="M32" s="6" t="n">
        <f aca="false">K32+L32</f>
        <v>739</v>
      </c>
      <c r="N32" s="33" t="n">
        <v>0.1061</v>
      </c>
      <c r="O32" s="22" t="n">
        <v>3728</v>
      </c>
      <c r="P32" s="6" t="n">
        <f aca="false">SUMIF(BOM_V56!$B:$B,B32,BOM_V56!$M:$M)+SUMIF(BOM_V57!$B:$B,B32,BOM_V57!$M:$M)+SUMIF(BOM_v6!$B:$B,B32,BOM_v6!$M:$M)</f>
        <v>1136</v>
      </c>
      <c r="Q32" s="2" t="str">
        <f aca="false">IF(P32&gt;O32,"SÍ","")</f>
        <v/>
      </c>
      <c r="R32" s="38" t="n">
        <f aca="false">N32*(1+IF(Q32="SÍ",Supuestos!$B$14,0))</f>
        <v>0.1061</v>
      </c>
      <c r="S32" s="10" t="n">
        <f aca="false">M32*R32</f>
        <v>78.4079</v>
      </c>
      <c r="T32" s="2"/>
      <c r="U32" s="2" t="s">
        <v>254</v>
      </c>
    </row>
    <row r="33" customFormat="false" ht="15" hidden="false" customHeight="false" outlineLevel="0" collapsed="false">
      <c r="A33" s="2" t="s">
        <v>325</v>
      </c>
      <c r="B33" s="2" t="s">
        <v>326</v>
      </c>
      <c r="C33" s="2" t="s">
        <v>327</v>
      </c>
      <c r="D33" s="2" t="s">
        <v>279</v>
      </c>
      <c r="E33" s="2" t="s">
        <v>280</v>
      </c>
      <c r="F33" s="2" t="s">
        <v>197</v>
      </c>
      <c r="G33" s="2" t="n">
        <v>0</v>
      </c>
      <c r="H33" s="2" t="n">
        <v>2</v>
      </c>
      <c r="I33" s="2" t="n">
        <v>0</v>
      </c>
      <c r="J33" s="35" t="n">
        <v>1</v>
      </c>
      <c r="K33" s="6" t="n">
        <f aca="false">J33*Supuestos!C$5</f>
        <v>365</v>
      </c>
      <c r="L33" s="6" t="n">
        <f aca="false">IF(OR(U33="Resistors",U33="Capacitors"),ROUNDUP(K33*Supuestos!$B$16,0)+Supuestos!$B$17,ROUNDUP(K33*Supuestos!$B$18,0)+Supuestos!$B$19)</f>
        <v>5</v>
      </c>
      <c r="M33" s="6" t="n">
        <f aca="false">K33+L33</f>
        <v>370</v>
      </c>
      <c r="N33" s="33" t="n">
        <v>0.1809</v>
      </c>
      <c r="O33" s="22" t="n">
        <v>171</v>
      </c>
      <c r="P33" s="6" t="n">
        <f aca="false">SUMIF(BOM_V56!$B:$B,B33,BOM_V56!$M:$M)+SUMIF(BOM_V57!$B:$B,B33,BOM_V57!$M:$M)+SUMIF(BOM_v6!$B:$B,B33,BOM_v6!$M:$M)</f>
        <v>570</v>
      </c>
      <c r="Q33" s="2" t="str">
        <f aca="false">IF(P33&gt;O33,"SÍ","")</f>
        <v>SÍ</v>
      </c>
      <c r="R33" s="38" t="n">
        <f aca="false">N33*(1+IF(Q33="SÍ",Supuestos!$B$14,0))</f>
        <v>0.208035</v>
      </c>
      <c r="S33" s="10" t="n">
        <f aca="false">M33*R33</f>
        <v>76.97295</v>
      </c>
      <c r="T33" s="2"/>
      <c r="U33" s="2" t="s">
        <v>281</v>
      </c>
    </row>
    <row r="34" customFormat="false" ht="15" hidden="false" customHeight="false" outlineLevel="0" collapsed="false">
      <c r="A34" s="2" t="s">
        <v>602</v>
      </c>
      <c r="B34" s="2" t="s">
        <v>277</v>
      </c>
      <c r="C34" s="2" t="s">
        <v>278</v>
      </c>
      <c r="D34" s="2" t="s">
        <v>279</v>
      </c>
      <c r="E34" s="2" t="s">
        <v>280</v>
      </c>
      <c r="F34" s="2" t="s">
        <v>197</v>
      </c>
      <c r="G34" s="2" t="n">
        <v>0</v>
      </c>
      <c r="H34" s="2" t="n">
        <v>2</v>
      </c>
      <c r="I34" s="2" t="n">
        <v>0</v>
      </c>
      <c r="J34" s="35" t="n">
        <v>1</v>
      </c>
      <c r="K34" s="6" t="n">
        <f aca="false">J34*Supuestos!C$5</f>
        <v>365</v>
      </c>
      <c r="L34" s="6" t="n">
        <f aca="false">IF(OR(U34="Resistors",U34="Capacitors"),ROUNDUP(K34*Supuestos!$B$16,0)+Supuestos!$B$17,ROUNDUP(K34*Supuestos!$B$18,0)+Supuestos!$B$19)</f>
        <v>5</v>
      </c>
      <c r="M34" s="6" t="n">
        <f aca="false">K34+L34</f>
        <v>370</v>
      </c>
      <c r="N34" s="33" t="n">
        <v>0.2014</v>
      </c>
      <c r="O34" s="22" t="n">
        <v>4457</v>
      </c>
      <c r="P34" s="6" t="n">
        <f aca="false">SUMIF(BOM_V56!$B:$B,B34,BOM_V56!$M:$M)+SUMIF(BOM_V57!$B:$B,B34,BOM_V57!$M:$M)+SUMIF(BOM_v6!$B:$B,B34,BOM_v6!$M:$M)</f>
        <v>706</v>
      </c>
      <c r="Q34" s="2" t="str">
        <f aca="false">IF(P34&gt;O34,"SÍ","")</f>
        <v/>
      </c>
      <c r="R34" s="38" t="n">
        <f aca="false">N34*(1+IF(Q34="SÍ",Supuestos!$B$14,0))</f>
        <v>0.2014</v>
      </c>
      <c r="S34" s="10" t="n">
        <f aca="false">M34*R34</f>
        <v>74.518</v>
      </c>
      <c r="T34" s="2"/>
      <c r="U34" s="2" t="s">
        <v>281</v>
      </c>
    </row>
    <row r="35" customFormat="false" ht="15" hidden="false" customHeight="false" outlineLevel="0" collapsed="false">
      <c r="A35" s="2" t="s">
        <v>339</v>
      </c>
      <c r="B35" s="2" t="s">
        <v>340</v>
      </c>
      <c r="C35" s="2" t="s">
        <v>341</v>
      </c>
      <c r="D35" s="2" t="s">
        <v>236</v>
      </c>
      <c r="E35" s="2" t="s">
        <v>311</v>
      </c>
      <c r="F35" s="2" t="s">
        <v>197</v>
      </c>
      <c r="G35" s="2" t="n">
        <v>0</v>
      </c>
      <c r="H35" s="2" t="n">
        <v>2</v>
      </c>
      <c r="I35" s="2" t="n">
        <v>0</v>
      </c>
      <c r="J35" s="35" t="n">
        <v>1</v>
      </c>
      <c r="K35" s="6" t="n">
        <f aca="false">J35*Supuestos!C$5</f>
        <v>365</v>
      </c>
      <c r="L35" s="6" t="n">
        <f aca="false">IF(OR(U35="Resistors",U35="Capacitors"),ROUNDUP(K35*Supuestos!$B$16,0)+Supuestos!$B$17,ROUNDUP(K35*Supuestos!$B$18,0)+Supuestos!$B$19)</f>
        <v>13</v>
      </c>
      <c r="M35" s="6" t="n">
        <f aca="false">K35+L35</f>
        <v>378</v>
      </c>
      <c r="N35" s="33" t="n">
        <v>0.1994</v>
      </c>
      <c r="O35" s="22" t="n">
        <v>99168</v>
      </c>
      <c r="P35" s="6" t="n">
        <f aca="false">SUMIF(BOM_V56!$B:$B,B35,BOM_V56!$M:$M)+SUMIF(BOM_V57!$B:$B,B35,BOM_V57!$M:$M)+SUMIF(BOM_v6!$B:$B,B35,BOM_v6!$M:$M)</f>
        <v>521</v>
      </c>
      <c r="Q35" s="2" t="str">
        <f aca="false">IF(P35&gt;O35,"SÍ","")</f>
        <v/>
      </c>
      <c r="R35" s="38" t="n">
        <f aca="false">N35*(1+IF(Q35="SÍ",Supuestos!$B$14,0))</f>
        <v>0.1994</v>
      </c>
      <c r="S35" s="10" t="n">
        <f aca="false">M35*R35</f>
        <v>75.3732</v>
      </c>
      <c r="T35" s="2"/>
      <c r="U35" s="2" t="s">
        <v>239</v>
      </c>
    </row>
    <row r="36" customFormat="false" ht="15" hidden="false" customHeight="false" outlineLevel="0" collapsed="false">
      <c r="A36" s="2" t="s">
        <v>603</v>
      </c>
      <c r="B36" s="2" t="s">
        <v>604</v>
      </c>
      <c r="C36" s="2" t="s">
        <v>605</v>
      </c>
      <c r="D36" s="2" t="s">
        <v>389</v>
      </c>
      <c r="E36" s="2" t="s">
        <v>606</v>
      </c>
      <c r="F36" s="2" t="s">
        <v>197</v>
      </c>
      <c r="G36" s="2" t="n">
        <v>0</v>
      </c>
      <c r="H36" s="2" t="n">
        <v>2</v>
      </c>
      <c r="I36" s="2" t="n">
        <v>0</v>
      </c>
      <c r="J36" s="35" t="n">
        <v>1</v>
      </c>
      <c r="K36" s="6" t="n">
        <f aca="false">J36*Supuestos!C$5</f>
        <v>365</v>
      </c>
      <c r="L36" s="6" t="n">
        <f aca="false">IF(OR(U36="Resistors",U36="Capacitors"),ROUNDUP(K36*Supuestos!$B$16,0)+Supuestos!$B$17,ROUNDUP(K36*Supuestos!$B$18,0)+Supuestos!$B$19)</f>
        <v>5</v>
      </c>
      <c r="M36" s="6" t="n">
        <f aca="false">K36+L36</f>
        <v>370</v>
      </c>
      <c r="N36" s="33" t="n">
        <v>0.185</v>
      </c>
      <c r="O36" s="22" t="n">
        <v>20092</v>
      </c>
      <c r="P36" s="6" t="n">
        <f aca="false">SUMIF(BOM_V56!$B:$B,B36,BOM_V56!$M:$M)+SUMIF(BOM_V57!$B:$B,B36,BOM_V57!$M:$M)+SUMIF(BOM_v6!$B:$B,B36,BOM_v6!$M:$M)</f>
        <v>370</v>
      </c>
      <c r="Q36" s="2" t="str">
        <f aca="false">IF(P36&gt;O36,"SÍ","")</f>
        <v/>
      </c>
      <c r="R36" s="38" t="n">
        <f aca="false">N36*(1+IF(Q36="SÍ",Supuestos!$B$14,0))</f>
        <v>0.185</v>
      </c>
      <c r="S36" s="10" t="n">
        <f aca="false">M36*R36</f>
        <v>68.45</v>
      </c>
      <c r="T36" s="2"/>
      <c r="U36" s="2" t="s">
        <v>370</v>
      </c>
    </row>
    <row r="37" customFormat="false" ht="15" hidden="false" customHeight="false" outlineLevel="0" collapsed="false">
      <c r="A37" s="2" t="s">
        <v>346</v>
      </c>
      <c r="B37" s="2" t="s">
        <v>347</v>
      </c>
      <c r="C37" s="2" t="s">
        <v>348</v>
      </c>
      <c r="D37" s="2" t="s">
        <v>349</v>
      </c>
      <c r="E37" s="39" t="s">
        <v>350</v>
      </c>
      <c r="F37" s="2" t="s">
        <v>197</v>
      </c>
      <c r="G37" s="2" t="n">
        <v>1</v>
      </c>
      <c r="H37" s="2" t="n">
        <v>0</v>
      </c>
      <c r="I37" s="2" t="n">
        <v>10</v>
      </c>
      <c r="J37" s="35" t="n">
        <v>2</v>
      </c>
      <c r="K37" s="6" t="n">
        <f aca="false">J37*Supuestos!C$5</f>
        <v>730</v>
      </c>
      <c r="L37" s="6" t="n">
        <f aca="false">IF(OR(U37="Resistors",U37="Capacitors"),ROUNDUP(K37*Supuestos!$B$16,0)+Supuestos!$B$17,ROUNDUP(K37*Supuestos!$B$18,0)+Supuestos!$B$19)</f>
        <v>9</v>
      </c>
      <c r="M37" s="6" t="n">
        <f aca="false">K37+L37</f>
        <v>739</v>
      </c>
      <c r="N37" s="33" t="n">
        <v>0.084</v>
      </c>
      <c r="O37" s="22" t="n">
        <v>17205</v>
      </c>
      <c r="P37" s="6" t="n">
        <f aca="false">SUMIF(BOM_V56!$B:$B,B37,BOM_V56!$M:$M)+SUMIF(BOM_V57!$B:$B,B37,BOM_V57!$M:$M)+SUMIF(BOM_v6!$B:$B,B37,BOM_v6!$M:$M)</f>
        <v>1013</v>
      </c>
      <c r="Q37" s="2" t="str">
        <f aca="false">IF(P37&gt;O37,"SÍ","")</f>
        <v/>
      </c>
      <c r="R37" s="38" t="n">
        <f aca="false">N37*(1+IF(Q37="SÍ",Supuestos!$B$14,0))</f>
        <v>0.084</v>
      </c>
      <c r="S37" s="10" t="n">
        <f aca="false">M37*R37</f>
        <v>62.076</v>
      </c>
      <c r="T37" s="2"/>
      <c r="U37" s="2" t="s">
        <v>254</v>
      </c>
    </row>
    <row r="38" customFormat="false" ht="15" hidden="false" customHeight="false" outlineLevel="0" collapsed="false">
      <c r="A38" s="2" t="s">
        <v>342</v>
      </c>
      <c r="B38" s="2" t="s">
        <v>343</v>
      </c>
      <c r="C38" s="2" t="s">
        <v>344</v>
      </c>
      <c r="D38" s="2" t="s">
        <v>236</v>
      </c>
      <c r="E38" s="2" t="s">
        <v>345</v>
      </c>
      <c r="F38" s="2" t="s">
        <v>197</v>
      </c>
      <c r="G38" s="2" t="n">
        <v>0</v>
      </c>
      <c r="H38" s="2" t="n">
        <v>2</v>
      </c>
      <c r="I38" s="2" t="n">
        <v>0</v>
      </c>
      <c r="J38" s="35" t="n">
        <v>1</v>
      </c>
      <c r="K38" s="6" t="n">
        <f aca="false">J38*Supuestos!C$5</f>
        <v>365</v>
      </c>
      <c r="L38" s="6" t="n">
        <f aca="false">IF(OR(U38="Resistors",U38="Capacitors"),ROUNDUP(K38*Supuestos!$B$16,0)+Supuestos!$B$17,ROUNDUP(K38*Supuestos!$B$18,0)+Supuestos!$B$19)</f>
        <v>13</v>
      </c>
      <c r="M38" s="6" t="n">
        <f aca="false">K38+L38</f>
        <v>378</v>
      </c>
      <c r="N38" s="33" t="n">
        <v>0.1511</v>
      </c>
      <c r="O38" s="22" t="n">
        <v>1180199</v>
      </c>
      <c r="P38" s="6" t="n">
        <f aca="false">SUMIF(BOM_V56!$B:$B,B38,BOM_V56!$M:$M)+SUMIF(BOM_V57!$B:$B,B38,BOM_V57!$M:$M)+SUMIF(BOM_v6!$B:$B,B38,BOM_v6!$M:$M)</f>
        <v>521</v>
      </c>
      <c r="Q38" s="2" t="str">
        <f aca="false">IF(P38&gt;O38,"SÍ","")</f>
        <v/>
      </c>
      <c r="R38" s="38" t="n">
        <f aca="false">N38*(1+IF(Q38="SÍ",Supuestos!$B$14,0))</f>
        <v>0.1511</v>
      </c>
      <c r="S38" s="10" t="n">
        <f aca="false">M38*R38</f>
        <v>57.1158</v>
      </c>
      <c r="T38" s="2"/>
      <c r="U38" s="2" t="s">
        <v>239</v>
      </c>
    </row>
    <row r="39" customFormat="false" ht="15" hidden="false" customHeight="false" outlineLevel="0" collapsed="false">
      <c r="A39" s="2" t="s">
        <v>351</v>
      </c>
      <c r="B39" s="2" t="s">
        <v>352</v>
      </c>
      <c r="C39" s="2" t="s">
        <v>353</v>
      </c>
      <c r="D39" s="2" t="s">
        <v>354</v>
      </c>
      <c r="E39" s="2" t="s">
        <v>290</v>
      </c>
      <c r="F39" s="2" t="s">
        <v>238</v>
      </c>
      <c r="G39" s="2" t="n">
        <v>0</v>
      </c>
      <c r="H39" s="2" t="n">
        <v>8</v>
      </c>
      <c r="I39" s="2" t="n">
        <v>0</v>
      </c>
      <c r="J39" s="35" t="n">
        <v>1</v>
      </c>
      <c r="K39" s="6" t="n">
        <f aca="false">J39*Supuestos!C$5</f>
        <v>365</v>
      </c>
      <c r="L39" s="6" t="n">
        <f aca="false">IF(OR(U39="Resistors",U39="Capacitors"),ROUNDUP(K39*Supuestos!$B$16,0)+Supuestos!$B$17,ROUNDUP(K39*Supuestos!$B$18,0)+Supuestos!$B$19)</f>
        <v>5</v>
      </c>
      <c r="M39" s="6" t="n">
        <f aca="false">K39+L39</f>
        <v>370</v>
      </c>
      <c r="N39" s="33" t="n">
        <v>0.1505</v>
      </c>
      <c r="O39" s="22" t="n">
        <v>373194</v>
      </c>
      <c r="P39" s="6" t="n">
        <f aca="false">SUMIF(BOM_V56!$B:$B,B39,BOM_V56!$M:$M)+SUMIF(BOM_V57!$B:$B,B39,BOM_V57!$M:$M)+SUMIF(BOM_v6!$B:$B,B39,BOM_v6!$M:$M)</f>
        <v>508</v>
      </c>
      <c r="Q39" s="2" t="str">
        <f aca="false">IF(P39&gt;O39,"SÍ","")</f>
        <v/>
      </c>
      <c r="R39" s="38" t="n">
        <f aca="false">N39*(1+IF(Q39="SÍ",Supuestos!$B$14,0))</f>
        <v>0.1505</v>
      </c>
      <c r="S39" s="10" t="n">
        <f aca="false">M39*R39</f>
        <v>55.685</v>
      </c>
      <c r="T39" s="2"/>
      <c r="U39" s="2" t="s">
        <v>210</v>
      </c>
    </row>
    <row r="40" customFormat="false" ht="15" hidden="false" customHeight="false" outlineLevel="0" collapsed="false">
      <c r="A40" s="2" t="s">
        <v>360</v>
      </c>
      <c r="B40" s="2" t="s">
        <v>361</v>
      </c>
      <c r="C40" s="2" t="s">
        <v>362</v>
      </c>
      <c r="D40" s="2" t="s">
        <v>363</v>
      </c>
      <c r="E40" s="2" t="s">
        <v>364</v>
      </c>
      <c r="F40" s="2" t="s">
        <v>197</v>
      </c>
      <c r="G40" s="2" t="n">
        <v>0</v>
      </c>
      <c r="H40" s="2" t="n">
        <v>2</v>
      </c>
      <c r="I40" s="2" t="n">
        <v>0</v>
      </c>
      <c r="J40" s="35" t="n">
        <v>2</v>
      </c>
      <c r="K40" s="6" t="n">
        <f aca="false">J40*Supuestos!C$5</f>
        <v>730</v>
      </c>
      <c r="L40" s="6" t="n">
        <f aca="false">IF(OR(U40="Resistors",U40="Capacitors"),ROUNDUP(K40*Supuestos!$B$16,0)+Supuestos!$B$17,ROUNDUP(K40*Supuestos!$B$18,0)+Supuestos!$B$19)</f>
        <v>9</v>
      </c>
      <c r="M40" s="6" t="n">
        <f aca="false">K40+L40</f>
        <v>739</v>
      </c>
      <c r="N40" s="33" t="n">
        <v>0.0706</v>
      </c>
      <c r="O40" s="22" t="n">
        <v>29426</v>
      </c>
      <c r="P40" s="6" t="n">
        <f aca="false">SUMIF(BOM_V56!$B:$B,B40,BOM_V56!$M:$M)+SUMIF(BOM_V57!$B:$B,B40,BOM_V57!$M:$M)+SUMIF(BOM_v6!$B:$B,B40,BOM_v6!$M:$M)</f>
        <v>1075</v>
      </c>
      <c r="Q40" s="2" t="str">
        <f aca="false">IF(P40&gt;O40,"SÍ","")</f>
        <v/>
      </c>
      <c r="R40" s="38" t="n">
        <f aca="false">N40*(1+IF(Q40="SÍ",Supuestos!$B$14,0))</f>
        <v>0.0706</v>
      </c>
      <c r="S40" s="10" t="n">
        <f aca="false">M40*R40</f>
        <v>52.1734</v>
      </c>
      <c r="T40" s="2"/>
      <c r="U40" s="2" t="s">
        <v>365</v>
      </c>
    </row>
    <row r="41" customFormat="false" ht="15" hidden="false" customHeight="false" outlineLevel="0" collapsed="false">
      <c r="A41" s="2" t="s">
        <v>607</v>
      </c>
      <c r="B41" s="2" t="s">
        <v>608</v>
      </c>
      <c r="C41" s="2" t="s">
        <v>609</v>
      </c>
      <c r="D41" s="2" t="s">
        <v>231</v>
      </c>
      <c r="E41" s="2" t="s">
        <v>610</v>
      </c>
      <c r="F41" s="2" t="s">
        <v>197</v>
      </c>
      <c r="G41" s="2" t="n">
        <v>0</v>
      </c>
      <c r="H41" s="2" t="n">
        <v>2</v>
      </c>
      <c r="I41" s="2" t="n">
        <v>0</v>
      </c>
      <c r="J41" s="35" t="n">
        <v>1</v>
      </c>
      <c r="K41" s="6" t="n">
        <f aca="false">J41*Supuestos!C$5</f>
        <v>365</v>
      </c>
      <c r="L41" s="6" t="n">
        <f aca="false">IF(OR(U41="Resistors",U41="Capacitors"),ROUNDUP(K41*Supuestos!$B$16,0)+Supuestos!$B$17,ROUNDUP(K41*Supuestos!$B$18,0)+Supuestos!$B$19)</f>
        <v>5</v>
      </c>
      <c r="M41" s="6" t="n">
        <f aca="false">K41+L41</f>
        <v>370</v>
      </c>
      <c r="N41" s="33" t="n">
        <v>0.1249</v>
      </c>
      <c r="O41" s="22" t="n">
        <v>134268</v>
      </c>
      <c r="P41" s="6" t="n">
        <f aca="false">SUMIF(BOM_V56!$B:$B,B41,BOM_V56!$M:$M)+SUMIF(BOM_V57!$B:$B,B41,BOM_V57!$M:$M)+SUMIF(BOM_v6!$B:$B,B41,BOM_v6!$M:$M)</f>
        <v>432</v>
      </c>
      <c r="Q41" s="2" t="str">
        <f aca="false">IF(P41&gt;O41,"SÍ","")</f>
        <v/>
      </c>
      <c r="R41" s="38" t="n">
        <f aca="false">N41*(1+IF(Q41="SÍ",Supuestos!$B$14,0))</f>
        <v>0.1249</v>
      </c>
      <c r="S41" s="10" t="n">
        <f aca="false">M41*R41</f>
        <v>46.213</v>
      </c>
      <c r="T41" s="2"/>
      <c r="U41" s="2" t="s">
        <v>385</v>
      </c>
    </row>
    <row r="42" customFormat="false" ht="15" hidden="false" customHeight="false" outlineLevel="0" collapsed="false">
      <c r="A42" s="2" t="s">
        <v>611</v>
      </c>
      <c r="B42" s="2" t="s">
        <v>612</v>
      </c>
      <c r="C42" s="2" t="s">
        <v>613</v>
      </c>
      <c r="D42" s="2" t="s">
        <v>436</v>
      </c>
      <c r="E42" s="2" t="s">
        <v>311</v>
      </c>
      <c r="F42" s="2" t="s">
        <v>197</v>
      </c>
      <c r="G42" s="2" t="n">
        <v>0</v>
      </c>
      <c r="H42" s="2" t="n">
        <v>2</v>
      </c>
      <c r="I42" s="2" t="n">
        <v>0</v>
      </c>
      <c r="J42" s="35" t="n">
        <v>2</v>
      </c>
      <c r="K42" s="6" t="n">
        <f aca="false">J42*Supuestos!C$5</f>
        <v>730</v>
      </c>
      <c r="L42" s="6" t="n">
        <f aca="false">IF(OR(U42="Resistors",U42="Capacitors"),ROUNDUP(K42*Supuestos!$B$16,0)+Supuestos!$B$17,ROUNDUP(K42*Supuestos!$B$18,0)+Supuestos!$B$19)</f>
        <v>20</v>
      </c>
      <c r="M42" s="6" t="n">
        <f aca="false">K42+L42</f>
        <v>750</v>
      </c>
      <c r="N42" s="33" t="n">
        <v>0.0619</v>
      </c>
      <c r="O42" s="22" t="n">
        <v>277169</v>
      </c>
      <c r="P42" s="6" t="n">
        <f aca="false">SUMIF(BOM_V56!$B:$B,B42,BOM_V56!$M:$M)+SUMIF(BOM_V57!$B:$B,B42,BOM_V57!$M:$M)+SUMIF(BOM_v6!$B:$B,B42,BOM_v6!$M:$M)</f>
        <v>878</v>
      </c>
      <c r="Q42" s="2" t="str">
        <f aca="false">IF(P42&gt;O42,"SÍ","")</f>
        <v/>
      </c>
      <c r="R42" s="38" t="n">
        <f aca="false">N42*(1+IF(Q42="SÍ",Supuestos!$B$14,0))</f>
        <v>0.0619</v>
      </c>
      <c r="S42" s="10" t="n">
        <f aca="false">M42*R42</f>
        <v>46.425</v>
      </c>
      <c r="T42" s="2"/>
      <c r="U42" s="2" t="s">
        <v>239</v>
      </c>
    </row>
    <row r="43" customFormat="false" ht="15" hidden="false" customHeight="false" outlineLevel="0" collapsed="false">
      <c r="A43" s="2" t="s">
        <v>366</v>
      </c>
      <c r="B43" s="2" t="s">
        <v>367</v>
      </c>
      <c r="C43" s="2" t="s">
        <v>368</v>
      </c>
      <c r="D43" s="2" t="s">
        <v>195</v>
      </c>
      <c r="E43" s="2" t="s">
        <v>369</v>
      </c>
      <c r="F43" s="2" t="s">
        <v>197</v>
      </c>
      <c r="G43" s="2" t="n">
        <v>0</v>
      </c>
      <c r="H43" s="2" t="n">
        <v>6</v>
      </c>
      <c r="I43" s="2" t="n">
        <v>0</v>
      </c>
      <c r="J43" s="35" t="n">
        <v>1</v>
      </c>
      <c r="K43" s="6" t="n">
        <f aca="false">J43*Supuestos!C$5</f>
        <v>365</v>
      </c>
      <c r="L43" s="6" t="n">
        <f aca="false">IF(OR(U43="Resistors",U43="Capacitors"),ROUNDUP(K43*Supuestos!$B$16,0)+Supuestos!$B$17,ROUNDUP(K43*Supuestos!$B$18,0)+Supuestos!$B$19)</f>
        <v>5</v>
      </c>
      <c r="M43" s="6" t="n">
        <f aca="false">K43+L43</f>
        <v>370</v>
      </c>
      <c r="N43" s="33" t="n">
        <v>0.1181</v>
      </c>
      <c r="O43" s="22" t="n">
        <v>36981</v>
      </c>
      <c r="P43" s="6" t="n">
        <f aca="false">SUMIF(BOM_V56!$B:$B,B43,BOM_V56!$M:$M)+SUMIF(BOM_V57!$B:$B,B43,BOM_V57!$M:$M)+SUMIF(BOM_v6!$B:$B,B43,BOM_v6!$M:$M)</f>
        <v>570</v>
      </c>
      <c r="Q43" s="2" t="str">
        <f aca="false">IF(P43&gt;O43,"SÍ","")</f>
        <v/>
      </c>
      <c r="R43" s="38" t="n">
        <f aca="false">N43*(1+IF(Q43="SÍ",Supuestos!$B$14,0))</f>
        <v>0.1181</v>
      </c>
      <c r="S43" s="10" t="n">
        <f aca="false">M43*R43</f>
        <v>43.697</v>
      </c>
      <c r="T43" s="2"/>
      <c r="U43" s="2" t="s">
        <v>370</v>
      </c>
    </row>
    <row r="44" customFormat="false" ht="15" hidden="false" customHeight="false" outlineLevel="0" collapsed="false">
      <c r="A44" s="2" t="s">
        <v>371</v>
      </c>
      <c r="B44" s="2" t="s">
        <v>372</v>
      </c>
      <c r="C44" s="2" t="s">
        <v>373</v>
      </c>
      <c r="D44" s="2" t="s">
        <v>374</v>
      </c>
      <c r="E44" s="2" t="s">
        <v>375</v>
      </c>
      <c r="F44" s="2" t="s">
        <v>238</v>
      </c>
      <c r="G44" s="2" t="n">
        <v>0</v>
      </c>
      <c r="H44" s="2" t="n">
        <v>2</v>
      </c>
      <c r="I44" s="2" t="n">
        <v>0</v>
      </c>
      <c r="J44" s="35" t="n">
        <v>1</v>
      </c>
      <c r="K44" s="6" t="n">
        <f aca="false">J44*Supuestos!C$5</f>
        <v>365</v>
      </c>
      <c r="L44" s="6" t="n">
        <f aca="false">IF(OR(U44="Resistors",U44="Capacitors"),ROUNDUP(K44*Supuestos!$B$16,0)+Supuestos!$B$17,ROUNDUP(K44*Supuestos!$B$18,0)+Supuestos!$B$19)</f>
        <v>5</v>
      </c>
      <c r="M44" s="6" t="n">
        <f aca="false">K44+L44</f>
        <v>370</v>
      </c>
      <c r="N44" s="33" t="n">
        <v>0.1171</v>
      </c>
      <c r="O44" s="22" t="n">
        <v>489732</v>
      </c>
      <c r="P44" s="6" t="n">
        <f aca="false">SUMIF(BOM_V56!$B:$B,B44,BOM_V56!$M:$M)+SUMIF(BOM_V57!$B:$B,B44,BOM_V57!$M:$M)+SUMIF(BOM_v6!$B:$B,B44,BOM_v6!$M:$M)</f>
        <v>508</v>
      </c>
      <c r="Q44" s="2" t="str">
        <f aca="false">IF(P44&gt;O44,"SÍ","")</f>
        <v/>
      </c>
      <c r="R44" s="38" t="n">
        <f aca="false">N44*(1+IF(Q44="SÍ",Supuestos!$B$14,0))</f>
        <v>0.1171</v>
      </c>
      <c r="S44" s="10" t="n">
        <f aca="false">M44*R44</f>
        <v>43.327</v>
      </c>
      <c r="T44" s="2"/>
      <c r="U44" s="2" t="s">
        <v>365</v>
      </c>
    </row>
    <row r="45" customFormat="false" ht="15" hidden="false" customHeight="false" outlineLevel="0" collapsed="false">
      <c r="A45" s="2" t="s">
        <v>614</v>
      </c>
      <c r="B45" s="2" t="s">
        <v>356</v>
      </c>
      <c r="C45" s="2" t="s">
        <v>357</v>
      </c>
      <c r="D45" s="2" t="s">
        <v>358</v>
      </c>
      <c r="E45" s="39" t="s">
        <v>359</v>
      </c>
      <c r="F45" s="2" t="s">
        <v>197</v>
      </c>
      <c r="G45" s="2" t="n">
        <v>1</v>
      </c>
      <c r="H45" s="2" t="n">
        <v>0</v>
      </c>
      <c r="I45" s="2" t="n">
        <v>2</v>
      </c>
      <c r="J45" s="35" t="n">
        <v>4</v>
      </c>
      <c r="K45" s="6" t="n">
        <f aca="false">J45*Supuestos!C$5</f>
        <v>1460</v>
      </c>
      <c r="L45" s="6" t="n">
        <f aca="false">IF(OR(U45="Resistors",U45="Capacitors"),ROUNDUP(K45*Supuestos!$B$16,0)+Supuestos!$B$17,ROUNDUP(K45*Supuestos!$B$18,0)+Supuestos!$B$19)</f>
        <v>16</v>
      </c>
      <c r="M45" s="6" t="n">
        <f aca="false">K45+L45</f>
        <v>1476</v>
      </c>
      <c r="N45" s="33" t="n">
        <v>0.0282</v>
      </c>
      <c r="O45" s="22" t="n">
        <v>419147</v>
      </c>
      <c r="P45" s="6" t="n">
        <f aca="false">SUMIF(BOM_V56!$B:$B,B45,BOM_V56!$M:$M)+SUMIF(BOM_V57!$B:$B,B45,BOM_V57!$M:$M)+SUMIF(BOM_v6!$B:$B,B45,BOM_v6!$M:$M)</f>
        <v>2585</v>
      </c>
      <c r="Q45" s="2" t="str">
        <f aca="false">IF(P45&gt;O45,"SÍ","")</f>
        <v/>
      </c>
      <c r="R45" s="38" t="n">
        <f aca="false">N45*(1+IF(Q45="SÍ",Supuestos!$B$14,0))</f>
        <v>0.0282</v>
      </c>
      <c r="S45" s="10" t="n">
        <f aca="false">M45*R45</f>
        <v>41.6232</v>
      </c>
      <c r="T45" s="2"/>
      <c r="U45" s="2" t="s">
        <v>254</v>
      </c>
    </row>
    <row r="46" customFormat="false" ht="15" hidden="false" customHeight="false" outlineLevel="0" collapsed="false">
      <c r="A46" s="2" t="s">
        <v>376</v>
      </c>
      <c r="B46" s="2" t="s">
        <v>377</v>
      </c>
      <c r="C46" s="2" t="s">
        <v>378</v>
      </c>
      <c r="D46" s="2" t="s">
        <v>289</v>
      </c>
      <c r="E46" s="2" t="s">
        <v>379</v>
      </c>
      <c r="F46" s="2" t="s">
        <v>238</v>
      </c>
      <c r="G46" s="2" t="n">
        <v>0</v>
      </c>
      <c r="H46" s="2" t="n">
        <v>3</v>
      </c>
      <c r="I46" s="2" t="n">
        <v>0</v>
      </c>
      <c r="J46" s="35" t="n">
        <v>2</v>
      </c>
      <c r="K46" s="6" t="n">
        <f aca="false">J46*Supuestos!C$5</f>
        <v>730</v>
      </c>
      <c r="L46" s="6" t="n">
        <f aca="false">IF(OR(U46="Resistors",U46="Capacitors"),ROUNDUP(K46*Supuestos!$B$16,0)+Supuestos!$B$17,ROUNDUP(K46*Supuestos!$B$18,0)+Supuestos!$B$19)</f>
        <v>9</v>
      </c>
      <c r="M46" s="6" t="n">
        <f aca="false">K46+L46</f>
        <v>739</v>
      </c>
      <c r="N46" s="33" t="n">
        <v>0.0555</v>
      </c>
      <c r="O46" s="22" t="n">
        <v>1218439</v>
      </c>
      <c r="P46" s="6" t="n">
        <f aca="false">SUMIF(BOM_V56!$B:$B,B46,BOM_V56!$M:$M)+SUMIF(BOM_V57!$B:$B,B46,BOM_V57!$M:$M)+SUMIF(BOM_v6!$B:$B,B46,BOM_v6!$M:$M)</f>
        <v>1136</v>
      </c>
      <c r="Q46" s="2" t="str">
        <f aca="false">IF(P46&gt;O46,"SÍ","")</f>
        <v/>
      </c>
      <c r="R46" s="38" t="n">
        <f aca="false">N46*(1+IF(Q46="SÍ",Supuestos!$B$14,0))</f>
        <v>0.0555</v>
      </c>
      <c r="S46" s="10" t="n">
        <f aca="false">M46*R46</f>
        <v>41.0145</v>
      </c>
      <c r="T46" s="2"/>
      <c r="U46" s="2" t="s">
        <v>291</v>
      </c>
    </row>
    <row r="47" customFormat="false" ht="15" hidden="false" customHeight="false" outlineLevel="0" collapsed="false">
      <c r="A47" s="2" t="s">
        <v>386</v>
      </c>
      <c r="B47" s="2" t="s">
        <v>387</v>
      </c>
      <c r="C47" s="2" t="s">
        <v>388</v>
      </c>
      <c r="D47" s="2" t="s">
        <v>389</v>
      </c>
      <c r="E47" s="2" t="s">
        <v>390</v>
      </c>
      <c r="F47" s="2" t="s">
        <v>197</v>
      </c>
      <c r="G47" s="2" t="n">
        <v>0</v>
      </c>
      <c r="H47" s="2" t="n">
        <v>2</v>
      </c>
      <c r="I47" s="2" t="n">
        <v>0</v>
      </c>
      <c r="J47" s="35" t="n">
        <v>1</v>
      </c>
      <c r="K47" s="6" t="n">
        <f aca="false">J47*Supuestos!C$5</f>
        <v>365</v>
      </c>
      <c r="L47" s="6" t="n">
        <f aca="false">IF(OR(U47="Resistors",U47="Capacitors"),ROUNDUP(K47*Supuestos!$B$16,0)+Supuestos!$B$17,ROUNDUP(K47*Supuestos!$B$18,0)+Supuestos!$B$19)</f>
        <v>5</v>
      </c>
      <c r="M47" s="6" t="n">
        <f aca="false">K47+L47</f>
        <v>370</v>
      </c>
      <c r="N47" s="33" t="n">
        <v>0.1076</v>
      </c>
      <c r="O47" s="22" t="n">
        <v>36381</v>
      </c>
      <c r="P47" s="6" t="n">
        <f aca="false">SUMIF(BOM_V56!$B:$B,B47,BOM_V56!$M:$M)+SUMIF(BOM_V57!$B:$B,B47,BOM_V57!$M:$M)+SUMIF(BOM_v6!$B:$B,B47,BOM_v6!$M:$M)</f>
        <v>508</v>
      </c>
      <c r="Q47" s="2" t="str">
        <f aca="false">IF(P47&gt;O47,"SÍ","")</f>
        <v/>
      </c>
      <c r="R47" s="38" t="n">
        <f aca="false">N47*(1+IF(Q47="SÍ",Supuestos!$B$14,0))</f>
        <v>0.1076</v>
      </c>
      <c r="S47" s="10" t="n">
        <f aca="false">M47*R47</f>
        <v>39.812</v>
      </c>
      <c r="T47" s="2"/>
      <c r="U47" s="2" t="s">
        <v>370</v>
      </c>
    </row>
    <row r="48" customFormat="false" ht="15" hidden="false" customHeight="false" outlineLevel="0" collapsed="false">
      <c r="A48" s="2" t="s">
        <v>391</v>
      </c>
      <c r="B48" s="2" t="s">
        <v>392</v>
      </c>
      <c r="C48" s="2" t="s">
        <v>393</v>
      </c>
      <c r="D48" s="2" t="s">
        <v>394</v>
      </c>
      <c r="E48" s="2" t="s">
        <v>395</v>
      </c>
      <c r="F48" s="2" t="s">
        <v>197</v>
      </c>
      <c r="G48" s="2" t="n">
        <v>0</v>
      </c>
      <c r="H48" s="2" t="n">
        <v>2</v>
      </c>
      <c r="I48" s="2" t="n">
        <v>0</v>
      </c>
      <c r="J48" s="35" t="n">
        <v>1</v>
      </c>
      <c r="K48" s="6" t="n">
        <f aca="false">J48*Supuestos!C$5</f>
        <v>365</v>
      </c>
      <c r="L48" s="6" t="n">
        <f aca="false">IF(OR(U48="Resistors",U48="Capacitors"),ROUNDUP(K48*Supuestos!$B$16,0)+Supuestos!$B$17,ROUNDUP(K48*Supuestos!$B$18,0)+Supuestos!$B$19)</f>
        <v>13</v>
      </c>
      <c r="M48" s="6" t="n">
        <f aca="false">K48+L48</f>
        <v>378</v>
      </c>
      <c r="N48" s="33" t="n">
        <v>0.0933</v>
      </c>
      <c r="O48" s="22" t="n">
        <v>62</v>
      </c>
      <c r="P48" s="6" t="n">
        <f aca="false">SUMIF(BOM_V56!$B:$B,B48,BOM_V56!$M:$M)+SUMIF(BOM_V57!$B:$B,B48,BOM_V57!$M:$M)+SUMIF(BOM_v6!$B:$B,B48,BOM_v6!$M:$M)</f>
        <v>521</v>
      </c>
      <c r="Q48" s="2" t="str">
        <f aca="false">IF(P48&gt;O48,"SÍ","")</f>
        <v>SÍ</v>
      </c>
      <c r="R48" s="38" t="n">
        <f aca="false">N48*(1+IF(Q48="SÍ",Supuestos!$B$14,0))</f>
        <v>0.107295</v>
      </c>
      <c r="S48" s="10" t="n">
        <f aca="false">M48*R48</f>
        <v>40.55751</v>
      </c>
      <c r="T48" s="2"/>
      <c r="U48" s="2" t="s">
        <v>239</v>
      </c>
    </row>
    <row r="49" customFormat="false" ht="15" hidden="false" customHeight="false" outlineLevel="0" collapsed="false">
      <c r="A49" s="2" t="s">
        <v>615</v>
      </c>
      <c r="B49" s="2" t="s">
        <v>381</v>
      </c>
      <c r="C49" s="2" t="s">
        <v>382</v>
      </c>
      <c r="D49" s="2" t="s">
        <v>383</v>
      </c>
      <c r="E49" s="2" t="s">
        <v>384</v>
      </c>
      <c r="F49" s="2" t="s">
        <v>238</v>
      </c>
      <c r="G49" s="2" t="n">
        <v>0</v>
      </c>
      <c r="H49" s="2" t="n">
        <v>2</v>
      </c>
      <c r="I49" s="2" t="n">
        <v>0</v>
      </c>
      <c r="J49" s="35" t="n">
        <v>4</v>
      </c>
      <c r="K49" s="6" t="n">
        <f aca="false">J49*Supuestos!C$5</f>
        <v>1460</v>
      </c>
      <c r="L49" s="6" t="n">
        <f aca="false">IF(OR(U49="Resistors",U49="Capacitors"),ROUNDUP(K49*Supuestos!$B$16,0)+Supuestos!$B$17,ROUNDUP(K49*Supuestos!$B$18,0)+Supuestos!$B$19)</f>
        <v>16</v>
      </c>
      <c r="M49" s="6" t="n">
        <f aca="false">K49+L49</f>
        <v>1476</v>
      </c>
      <c r="N49" s="33" t="n">
        <v>0.0251</v>
      </c>
      <c r="O49" s="22" t="n">
        <v>3593295</v>
      </c>
      <c r="P49" s="6" t="n">
        <f aca="false">SUMIF(BOM_V56!$B:$B,B49,BOM_V56!$M:$M)+SUMIF(BOM_V57!$B:$B,B49,BOM_V57!$M:$M)+SUMIF(BOM_v6!$B:$B,B49,BOM_v6!$M:$M)</f>
        <v>2403</v>
      </c>
      <c r="Q49" s="2" t="str">
        <f aca="false">IF(P49&gt;O49,"SÍ","")</f>
        <v/>
      </c>
      <c r="R49" s="38" t="n">
        <f aca="false">N49*(1+IF(Q49="SÍ",Supuestos!$B$14,0))</f>
        <v>0.0251</v>
      </c>
      <c r="S49" s="10" t="n">
        <f aca="false">M49*R49</f>
        <v>37.0476</v>
      </c>
      <c r="T49" s="2"/>
      <c r="U49" s="2" t="s">
        <v>385</v>
      </c>
    </row>
    <row r="50" customFormat="false" ht="15" hidden="false" customHeight="false" outlineLevel="0" collapsed="false">
      <c r="A50" s="2" t="s">
        <v>396</v>
      </c>
      <c r="B50" s="2" t="s">
        <v>397</v>
      </c>
      <c r="C50" s="2" t="s">
        <v>398</v>
      </c>
      <c r="D50" s="2" t="s">
        <v>399</v>
      </c>
      <c r="E50" s="2" t="s">
        <v>395</v>
      </c>
      <c r="F50" s="2" t="s">
        <v>197</v>
      </c>
      <c r="G50" s="2" t="n">
        <v>0</v>
      </c>
      <c r="H50" s="2" t="n">
        <v>2</v>
      </c>
      <c r="I50" s="2" t="n">
        <v>0</v>
      </c>
      <c r="J50" s="35" t="n">
        <v>1</v>
      </c>
      <c r="K50" s="6" t="n">
        <f aca="false">J50*Supuestos!C$5</f>
        <v>365</v>
      </c>
      <c r="L50" s="6" t="n">
        <f aca="false">IF(OR(U50="Resistors",U50="Capacitors"),ROUNDUP(K50*Supuestos!$B$16,0)+Supuestos!$B$17,ROUNDUP(K50*Supuestos!$B$18,0)+Supuestos!$B$19)</f>
        <v>13</v>
      </c>
      <c r="M50" s="6" t="n">
        <f aca="false">K50+L50</f>
        <v>378</v>
      </c>
      <c r="N50" s="33" t="n">
        <v>0.0974</v>
      </c>
      <c r="O50" s="22" t="n">
        <v>27792</v>
      </c>
      <c r="P50" s="6" t="n">
        <f aca="false">SUMIF(BOM_V56!$B:$B,B50,BOM_V56!$M:$M)+SUMIF(BOM_V57!$B:$B,B50,BOM_V57!$M:$M)+SUMIF(BOM_v6!$B:$B,B50,BOM_v6!$M:$M)</f>
        <v>588</v>
      </c>
      <c r="Q50" s="2" t="str">
        <f aca="false">IF(P50&gt;O50,"SÍ","")</f>
        <v/>
      </c>
      <c r="R50" s="38" t="n">
        <f aca="false">N50*(1+IF(Q50="SÍ",Supuestos!$B$14,0))</f>
        <v>0.0974</v>
      </c>
      <c r="S50" s="10" t="n">
        <f aca="false">M50*R50</f>
        <v>36.8172</v>
      </c>
      <c r="T50" s="2"/>
      <c r="U50" s="2" t="s">
        <v>239</v>
      </c>
    </row>
    <row r="51" customFormat="false" ht="15" hidden="false" customHeight="false" outlineLevel="0" collapsed="false">
      <c r="A51" s="2" t="s">
        <v>400</v>
      </c>
      <c r="B51" s="2" t="s">
        <v>401</v>
      </c>
      <c r="C51" s="2" t="s">
        <v>402</v>
      </c>
      <c r="D51" s="2" t="s">
        <v>403</v>
      </c>
      <c r="E51" s="2" t="s">
        <v>404</v>
      </c>
      <c r="F51" s="2" t="s">
        <v>197</v>
      </c>
      <c r="G51" s="2" t="n">
        <v>0</v>
      </c>
      <c r="H51" s="2" t="n">
        <v>2</v>
      </c>
      <c r="I51" s="2" t="n">
        <v>0</v>
      </c>
      <c r="J51" s="35" t="n">
        <v>1</v>
      </c>
      <c r="K51" s="6" t="n">
        <f aca="false">J51*Supuestos!C$5</f>
        <v>365</v>
      </c>
      <c r="L51" s="6" t="n">
        <f aca="false">IF(OR(U51="Resistors",U51="Capacitors"),ROUNDUP(K51*Supuestos!$B$16,0)+Supuestos!$B$17,ROUNDUP(K51*Supuestos!$B$18,0)+Supuestos!$B$19)</f>
        <v>5</v>
      </c>
      <c r="M51" s="6" t="n">
        <f aca="false">K51+L51</f>
        <v>370</v>
      </c>
      <c r="N51" s="33" t="n">
        <v>0.0893</v>
      </c>
      <c r="O51" s="22" t="n">
        <v>12684</v>
      </c>
      <c r="P51" s="6" t="n">
        <f aca="false">SUMIF(BOM_V56!$B:$B,B51,BOM_V56!$M:$M)+SUMIF(BOM_V57!$B:$B,B51,BOM_V57!$M:$M)+SUMIF(BOM_v6!$B:$B,B51,BOM_v6!$M:$M)</f>
        <v>508</v>
      </c>
      <c r="Q51" s="2" t="str">
        <f aca="false">IF(P51&gt;O51,"SÍ","")</f>
        <v/>
      </c>
      <c r="R51" s="38" t="n">
        <f aca="false">N51*(1+IF(Q51="SÍ",Supuestos!$B$14,0))</f>
        <v>0.0893</v>
      </c>
      <c r="S51" s="10" t="n">
        <f aca="false">M51*R51</f>
        <v>33.041</v>
      </c>
      <c r="T51" s="2"/>
      <c r="U51" s="2" t="s">
        <v>405</v>
      </c>
    </row>
    <row r="52" customFormat="false" ht="15" hidden="false" customHeight="false" outlineLevel="0" collapsed="false">
      <c r="A52" s="2" t="s">
        <v>406</v>
      </c>
      <c r="B52" s="2" t="s">
        <v>407</v>
      </c>
      <c r="C52" s="2" t="s">
        <v>408</v>
      </c>
      <c r="D52" s="2" t="s">
        <v>363</v>
      </c>
      <c r="E52" s="2" t="s">
        <v>364</v>
      </c>
      <c r="F52" s="2" t="s">
        <v>197</v>
      </c>
      <c r="G52" s="2" t="n">
        <v>0</v>
      </c>
      <c r="H52" s="2" t="n">
        <v>2</v>
      </c>
      <c r="I52" s="2" t="n">
        <v>0</v>
      </c>
      <c r="J52" s="35" t="n">
        <v>1</v>
      </c>
      <c r="K52" s="6" t="n">
        <f aca="false">J52*Supuestos!C$5</f>
        <v>365</v>
      </c>
      <c r="L52" s="6" t="n">
        <f aca="false">IF(OR(U52="Resistors",U52="Capacitors"),ROUNDUP(K52*Supuestos!$B$16,0)+Supuestos!$B$17,ROUNDUP(K52*Supuestos!$B$18,0)+Supuestos!$B$19)</f>
        <v>5</v>
      </c>
      <c r="M52" s="6" t="n">
        <f aca="false">K52+L52</f>
        <v>370</v>
      </c>
      <c r="N52" s="33" t="n">
        <v>0.0829</v>
      </c>
      <c r="O52" s="22" t="n">
        <v>10870</v>
      </c>
      <c r="P52" s="6" t="n">
        <f aca="false">SUMIF(BOM_V56!$B:$B,B52,BOM_V56!$M:$M)+SUMIF(BOM_V57!$B:$B,B52,BOM_V57!$M:$M)+SUMIF(BOM_v6!$B:$B,B52,BOM_v6!$M:$M)</f>
        <v>570</v>
      </c>
      <c r="Q52" s="2" t="str">
        <f aca="false">IF(P52&gt;O52,"SÍ","")</f>
        <v/>
      </c>
      <c r="R52" s="38" t="n">
        <f aca="false">N52*(1+IF(Q52="SÍ",Supuestos!$B$14,0))</f>
        <v>0.0829</v>
      </c>
      <c r="S52" s="10" t="n">
        <f aca="false">M52*R52</f>
        <v>30.673</v>
      </c>
      <c r="T52" s="2"/>
      <c r="U52" s="2" t="s">
        <v>365</v>
      </c>
    </row>
    <row r="53" customFormat="false" ht="15" hidden="false" customHeight="false" outlineLevel="0" collapsed="false">
      <c r="A53" s="2" t="s">
        <v>417</v>
      </c>
      <c r="B53" s="2" t="s">
        <v>418</v>
      </c>
      <c r="C53" s="2" t="s">
        <v>419</v>
      </c>
      <c r="D53" s="2" t="s">
        <v>420</v>
      </c>
      <c r="E53" s="2" t="s">
        <v>237</v>
      </c>
      <c r="F53" s="2" t="s">
        <v>238</v>
      </c>
      <c r="G53" s="2" t="n">
        <v>0</v>
      </c>
      <c r="H53" s="2" t="n">
        <v>2</v>
      </c>
      <c r="I53" s="2" t="n">
        <v>0</v>
      </c>
      <c r="J53" s="35" t="n">
        <v>6</v>
      </c>
      <c r="K53" s="6" t="n">
        <f aca="false">J53*Supuestos!C$5</f>
        <v>2190</v>
      </c>
      <c r="L53" s="6" t="n">
        <f aca="false">IF(OR(U53="Resistors",U53="Capacitors"),ROUNDUP(K53*Supuestos!$B$16,0)+Supuestos!$B$17,ROUNDUP(K53*Supuestos!$B$18,0)+Supuestos!$B$19)</f>
        <v>23</v>
      </c>
      <c r="M53" s="6" t="n">
        <f aca="false">K53+L53</f>
        <v>2213</v>
      </c>
      <c r="N53" s="33" t="n">
        <v>0.0128</v>
      </c>
      <c r="O53" s="22" t="n">
        <v>2376492</v>
      </c>
      <c r="P53" s="6" t="n">
        <f aca="false">SUMIF(BOM_V56!$B:$B,B53,BOM_V56!$M:$M)+SUMIF(BOM_V57!$B:$B,B53,BOM_V57!$M:$M)+SUMIF(BOM_v6!$B:$B,B53,BOM_v6!$M:$M)</f>
        <v>3398</v>
      </c>
      <c r="Q53" s="2" t="str">
        <f aca="false">IF(P53&gt;O53,"SÍ","")</f>
        <v/>
      </c>
      <c r="R53" s="38" t="n">
        <f aca="false">N53*(1+IF(Q53="SÍ",Supuestos!$B$14,0))</f>
        <v>0.0128</v>
      </c>
      <c r="S53" s="10" t="n">
        <f aca="false">M53*R53</f>
        <v>28.3264</v>
      </c>
      <c r="T53" s="2"/>
      <c r="U53" s="2" t="s">
        <v>421</v>
      </c>
    </row>
    <row r="54" customFormat="false" ht="15" hidden="false" customHeight="false" outlineLevel="0" collapsed="false">
      <c r="A54" s="2" t="s">
        <v>414</v>
      </c>
      <c r="B54" s="2" t="s">
        <v>415</v>
      </c>
      <c r="C54" s="2" t="s">
        <v>416</v>
      </c>
      <c r="D54" s="2" t="s">
        <v>289</v>
      </c>
      <c r="E54" s="2" t="s">
        <v>379</v>
      </c>
      <c r="F54" s="2" t="s">
        <v>238</v>
      </c>
      <c r="G54" s="2" t="n">
        <v>0</v>
      </c>
      <c r="H54" s="2" t="n">
        <v>3</v>
      </c>
      <c r="I54" s="2" t="n">
        <v>0</v>
      </c>
      <c r="J54" s="35" t="n">
        <v>1</v>
      </c>
      <c r="K54" s="6" t="n">
        <f aca="false">J54*Supuestos!C$5</f>
        <v>365</v>
      </c>
      <c r="L54" s="6" t="n">
        <f aca="false">IF(OR(U54="Resistors",U54="Capacitors"),ROUNDUP(K54*Supuestos!$B$16,0)+Supuestos!$B$17,ROUNDUP(K54*Supuestos!$B$18,0)+Supuestos!$B$19)</f>
        <v>5</v>
      </c>
      <c r="M54" s="6" t="n">
        <f aca="false">K54+L54</f>
        <v>370</v>
      </c>
      <c r="N54" s="33" t="n">
        <v>0.0691</v>
      </c>
      <c r="O54" s="22" t="n">
        <v>709733</v>
      </c>
      <c r="P54" s="6" t="n">
        <f aca="false">SUMIF(BOM_V56!$B:$B,B54,BOM_V56!$M:$M)+SUMIF(BOM_V57!$B:$B,B54,BOM_V57!$M:$M)+SUMIF(BOM_v6!$B:$B,B54,BOM_v6!$M:$M)</f>
        <v>570</v>
      </c>
      <c r="Q54" s="2" t="str">
        <f aca="false">IF(P54&gt;O54,"SÍ","")</f>
        <v/>
      </c>
      <c r="R54" s="38" t="n">
        <f aca="false">N54*(1+IF(Q54="SÍ",Supuestos!$B$14,0))</f>
        <v>0.0691</v>
      </c>
      <c r="S54" s="10" t="n">
        <f aca="false">M54*R54</f>
        <v>25.567</v>
      </c>
      <c r="T54" s="2"/>
      <c r="U54" s="2" t="s">
        <v>291</v>
      </c>
    </row>
    <row r="55" customFormat="false" ht="15" hidden="false" customHeight="false" outlineLevel="0" collapsed="false">
      <c r="A55" s="2" t="s">
        <v>409</v>
      </c>
      <c r="B55" s="2" t="s">
        <v>410</v>
      </c>
      <c r="C55" s="2" t="s">
        <v>411</v>
      </c>
      <c r="D55" s="2" t="s">
        <v>412</v>
      </c>
      <c r="E55" s="2" t="s">
        <v>413</v>
      </c>
      <c r="F55" s="2" t="s">
        <v>197</v>
      </c>
      <c r="G55" s="2" t="n">
        <v>0</v>
      </c>
      <c r="H55" s="2" t="n">
        <v>2</v>
      </c>
      <c r="I55" s="2" t="n">
        <v>0</v>
      </c>
      <c r="J55" s="35" t="n">
        <v>3</v>
      </c>
      <c r="K55" s="6" t="n">
        <f aca="false">J55*Supuestos!C$5</f>
        <v>1095</v>
      </c>
      <c r="L55" s="6" t="n">
        <f aca="false">IF(OR(U55="Resistors",U55="Capacitors"),ROUNDUP(K55*Supuestos!$B$16,0)+Supuestos!$B$17,ROUNDUP(K55*Supuestos!$B$18,0)+Supuestos!$B$19)</f>
        <v>12</v>
      </c>
      <c r="M55" s="6" t="n">
        <f aca="false">K55+L55</f>
        <v>1107</v>
      </c>
      <c r="N55" s="33" t="n">
        <v>0.023</v>
      </c>
      <c r="O55" s="22" t="n">
        <v>508870</v>
      </c>
      <c r="P55" s="6" t="n">
        <f aca="false">SUMIF(BOM_V56!$B:$B,B55,BOM_V56!$M:$M)+SUMIF(BOM_V57!$B:$B,B55,BOM_V57!$M:$M)+SUMIF(BOM_v6!$B:$B,B55,BOM_v6!$M:$M)</f>
        <v>2065</v>
      </c>
      <c r="Q55" s="2" t="str">
        <f aca="false">IF(P55&gt;O55,"SÍ","")</f>
        <v/>
      </c>
      <c r="R55" s="38" t="n">
        <f aca="false">N55*(1+IF(Q55="SÍ",Supuestos!$B$14,0))</f>
        <v>0.023</v>
      </c>
      <c r="S55" s="10" t="n">
        <f aca="false">M55*R55</f>
        <v>25.461</v>
      </c>
      <c r="T55" s="2"/>
      <c r="U55" s="2" t="s">
        <v>370</v>
      </c>
    </row>
    <row r="56" customFormat="false" ht="15" hidden="false" customHeight="false" outlineLevel="0" collapsed="false">
      <c r="A56" s="2" t="s">
        <v>422</v>
      </c>
      <c r="B56" s="2" t="s">
        <v>423</v>
      </c>
      <c r="C56" s="2" t="s">
        <v>424</v>
      </c>
      <c r="D56" s="2" t="s">
        <v>425</v>
      </c>
      <c r="E56" s="39" t="s">
        <v>426</v>
      </c>
      <c r="F56" s="2" t="s">
        <v>197</v>
      </c>
      <c r="G56" s="2" t="n">
        <v>1</v>
      </c>
      <c r="H56" s="2" t="n">
        <v>0</v>
      </c>
      <c r="I56" s="2" t="n">
        <v>4</v>
      </c>
      <c r="J56" s="35" t="n">
        <v>2</v>
      </c>
      <c r="K56" s="6" t="n">
        <f aca="false">J56*Supuestos!C$5</f>
        <v>730</v>
      </c>
      <c r="L56" s="6" t="n">
        <f aca="false">IF(OR(U56="Resistors",U56="Capacitors"),ROUNDUP(K56*Supuestos!$B$16,0)+Supuestos!$B$17,ROUNDUP(K56*Supuestos!$B$18,0)+Supuestos!$B$19)</f>
        <v>9</v>
      </c>
      <c r="M56" s="6" t="n">
        <f aca="false">K56+L56</f>
        <v>739</v>
      </c>
      <c r="N56" s="33" t="n">
        <v>0.0326</v>
      </c>
      <c r="O56" s="22" t="n">
        <v>1491</v>
      </c>
      <c r="P56" s="6" t="n">
        <f aca="false">SUMIF(BOM_V56!$B:$B,B56,BOM_V56!$M:$M)+SUMIF(BOM_V57!$B:$B,B56,BOM_V57!$M:$M)+SUMIF(BOM_v6!$B:$B,B56,BOM_v6!$M:$M)</f>
        <v>1136</v>
      </c>
      <c r="Q56" s="2" t="str">
        <f aca="false">IF(P56&gt;O56,"SÍ","")</f>
        <v/>
      </c>
      <c r="R56" s="38" t="n">
        <f aca="false">N56*(1+IF(Q56="SÍ",Supuestos!$B$14,0))</f>
        <v>0.0326</v>
      </c>
      <c r="S56" s="10" t="n">
        <f aca="false">M56*R56</f>
        <v>24.0914</v>
      </c>
      <c r="T56" s="2"/>
      <c r="U56" s="2" t="s">
        <v>333</v>
      </c>
    </row>
    <row r="57" customFormat="false" ht="15" hidden="false" customHeight="false" outlineLevel="0" collapsed="false">
      <c r="A57" s="2" t="s">
        <v>427</v>
      </c>
      <c r="B57" s="2" t="s">
        <v>428</v>
      </c>
      <c r="C57" s="2" t="s">
        <v>429</v>
      </c>
      <c r="D57" s="2" t="s">
        <v>358</v>
      </c>
      <c r="E57" s="39" t="s">
        <v>359</v>
      </c>
      <c r="F57" s="2" t="s">
        <v>197</v>
      </c>
      <c r="G57" s="2" t="n">
        <v>1</v>
      </c>
      <c r="H57" s="2" t="n">
        <v>0</v>
      </c>
      <c r="I57" s="2" t="n">
        <v>4</v>
      </c>
      <c r="J57" s="35" t="n">
        <v>1</v>
      </c>
      <c r="K57" s="6" t="n">
        <f aca="false">J57*Supuestos!C$5</f>
        <v>365</v>
      </c>
      <c r="L57" s="6" t="n">
        <f aca="false">IF(OR(U57="Resistors",U57="Capacitors"),ROUNDUP(K57*Supuestos!$B$16,0)+Supuestos!$B$17,ROUNDUP(K57*Supuestos!$B$18,0)+Supuestos!$B$19)</f>
        <v>5</v>
      </c>
      <c r="M57" s="6" t="n">
        <f aca="false">K57+L57</f>
        <v>370</v>
      </c>
      <c r="N57" s="33" t="n">
        <v>0.0467</v>
      </c>
      <c r="O57" s="22" t="n">
        <v>706985</v>
      </c>
      <c r="P57" s="6" t="n">
        <f aca="false">SUMIF(BOM_V56!$B:$B,B57,BOM_V56!$M:$M)+SUMIF(BOM_V57!$B:$B,B57,BOM_V57!$M:$M)+SUMIF(BOM_v6!$B:$B,B57,BOM_v6!$M:$M)</f>
        <v>570</v>
      </c>
      <c r="Q57" s="2" t="str">
        <f aca="false">IF(P57&gt;O57,"SÍ","")</f>
        <v/>
      </c>
      <c r="R57" s="38" t="n">
        <f aca="false">N57*(1+IF(Q57="SÍ",Supuestos!$B$14,0))</f>
        <v>0.0467</v>
      </c>
      <c r="S57" s="10" t="n">
        <f aca="false">M57*R57</f>
        <v>17.279</v>
      </c>
      <c r="T57" s="2"/>
      <c r="U57" s="2" t="s">
        <v>254</v>
      </c>
    </row>
    <row r="58" customFormat="false" ht="15" hidden="false" customHeight="false" outlineLevel="0" collapsed="false">
      <c r="A58" s="2" t="s">
        <v>430</v>
      </c>
      <c r="B58" s="2" t="s">
        <v>431</v>
      </c>
      <c r="C58" s="2" t="s">
        <v>432</v>
      </c>
      <c r="D58" s="2" t="s">
        <v>358</v>
      </c>
      <c r="E58" s="39" t="s">
        <v>359</v>
      </c>
      <c r="F58" s="2" t="s">
        <v>197</v>
      </c>
      <c r="G58" s="2" t="n">
        <v>1</v>
      </c>
      <c r="H58" s="2" t="n">
        <v>0</v>
      </c>
      <c r="I58" s="2" t="n">
        <v>3</v>
      </c>
      <c r="J58" s="35" t="n">
        <v>1</v>
      </c>
      <c r="K58" s="6" t="n">
        <f aca="false">J58*Supuestos!C$5</f>
        <v>365</v>
      </c>
      <c r="L58" s="6" t="n">
        <f aca="false">IF(OR(U58="Resistors",U58="Capacitors"),ROUNDUP(K58*Supuestos!$B$16,0)+Supuestos!$B$17,ROUNDUP(K58*Supuestos!$B$18,0)+Supuestos!$B$19)</f>
        <v>5</v>
      </c>
      <c r="M58" s="6" t="n">
        <f aca="false">K58+L58</f>
        <v>370</v>
      </c>
      <c r="N58" s="33" t="n">
        <v>0.0398</v>
      </c>
      <c r="O58" s="22" t="n">
        <v>83477</v>
      </c>
      <c r="P58" s="6" t="n">
        <f aca="false">SUMIF(BOM_V56!$B:$B,B58,BOM_V56!$M:$M)+SUMIF(BOM_V57!$B:$B,B58,BOM_V57!$M:$M)+SUMIF(BOM_v6!$B:$B,B58,BOM_v6!$M:$M)</f>
        <v>570</v>
      </c>
      <c r="Q58" s="2" t="str">
        <f aca="false">IF(P58&gt;O58,"SÍ","")</f>
        <v/>
      </c>
      <c r="R58" s="38" t="n">
        <f aca="false">N58*(1+IF(Q58="SÍ",Supuestos!$B$14,0))</f>
        <v>0.0398</v>
      </c>
      <c r="S58" s="10" t="n">
        <f aca="false">M58*R58</f>
        <v>14.726</v>
      </c>
      <c r="T58" s="2"/>
      <c r="U58" s="2" t="s">
        <v>254</v>
      </c>
    </row>
    <row r="59" customFormat="false" ht="15" hidden="false" customHeight="false" outlineLevel="0" collapsed="false">
      <c r="A59" s="2" t="s">
        <v>433</v>
      </c>
      <c r="B59" s="2" t="s">
        <v>434</v>
      </c>
      <c r="C59" s="2" t="s">
        <v>435</v>
      </c>
      <c r="D59" s="2" t="s">
        <v>436</v>
      </c>
      <c r="E59" s="2" t="s">
        <v>345</v>
      </c>
      <c r="F59" s="2" t="s">
        <v>197</v>
      </c>
      <c r="G59" s="2" t="n">
        <v>0</v>
      </c>
      <c r="H59" s="2" t="n">
        <v>2</v>
      </c>
      <c r="I59" s="2" t="n">
        <v>0</v>
      </c>
      <c r="J59" s="35" t="n">
        <v>1</v>
      </c>
      <c r="K59" s="6" t="n">
        <f aca="false">J59*Supuestos!C$5</f>
        <v>365</v>
      </c>
      <c r="L59" s="6" t="n">
        <f aca="false">IF(OR(U59="Resistors",U59="Capacitors"),ROUNDUP(K59*Supuestos!$B$16,0)+Supuestos!$B$17,ROUNDUP(K59*Supuestos!$B$18,0)+Supuestos!$B$19)</f>
        <v>13</v>
      </c>
      <c r="M59" s="6" t="n">
        <f aca="false">K59+L59</f>
        <v>378</v>
      </c>
      <c r="N59" s="33" t="n">
        <v>0.0313</v>
      </c>
      <c r="O59" s="22" t="n">
        <v>182655</v>
      </c>
      <c r="P59" s="6" t="n">
        <f aca="false">SUMIF(BOM_V56!$B:$B,B59,BOM_V56!$M:$M)+SUMIF(BOM_V57!$B:$B,B59,BOM_V57!$M:$M)+SUMIF(BOM_v6!$B:$B,B59,BOM_v6!$M:$M)</f>
        <v>588</v>
      </c>
      <c r="Q59" s="2" t="str">
        <f aca="false">IF(P59&gt;O59,"SÍ","")</f>
        <v/>
      </c>
      <c r="R59" s="38" t="n">
        <f aca="false">N59*(1+IF(Q59="SÍ",Supuestos!$B$14,0))</f>
        <v>0.0313</v>
      </c>
      <c r="S59" s="10" t="n">
        <f aca="false">M59*R59</f>
        <v>11.8314</v>
      </c>
      <c r="T59" s="2"/>
      <c r="U59" s="2" t="s">
        <v>437</v>
      </c>
    </row>
    <row r="60" customFormat="false" ht="15" hidden="false" customHeight="false" outlineLevel="0" collapsed="false">
      <c r="A60" s="2" t="s">
        <v>438</v>
      </c>
      <c r="B60" s="2" t="s">
        <v>439</v>
      </c>
      <c r="C60" s="2" t="s">
        <v>440</v>
      </c>
      <c r="D60" s="2" t="s">
        <v>441</v>
      </c>
      <c r="E60" s="2" t="s">
        <v>379</v>
      </c>
      <c r="F60" s="2" t="s">
        <v>197</v>
      </c>
      <c r="G60" s="2" t="n">
        <v>0</v>
      </c>
      <c r="H60" s="2" t="n">
        <v>3</v>
      </c>
      <c r="I60" s="2" t="n">
        <v>0</v>
      </c>
      <c r="J60" s="35" t="n">
        <v>1</v>
      </c>
      <c r="K60" s="6" t="n">
        <f aca="false">J60*Supuestos!C$5</f>
        <v>365</v>
      </c>
      <c r="L60" s="6" t="n">
        <f aca="false">IF(OR(U60="Resistors",U60="Capacitors"),ROUNDUP(K60*Supuestos!$B$16,0)+Supuestos!$B$17,ROUNDUP(K60*Supuestos!$B$18,0)+Supuestos!$B$19)</f>
        <v>5</v>
      </c>
      <c r="M60" s="6" t="n">
        <f aca="false">K60+L60</f>
        <v>370</v>
      </c>
      <c r="N60" s="33" t="n">
        <v>0.0271</v>
      </c>
      <c r="O60" s="22" t="n">
        <v>31023</v>
      </c>
      <c r="P60" s="6" t="n">
        <f aca="false">SUMIF(BOM_V56!$B:$B,B60,BOM_V56!$M:$M)+SUMIF(BOM_V57!$B:$B,B60,BOM_V57!$M:$M)+SUMIF(BOM_v6!$B:$B,B60,BOM_v6!$M:$M)</f>
        <v>570</v>
      </c>
      <c r="Q60" s="2" t="str">
        <f aca="false">IF(P60&gt;O60,"SÍ","")</f>
        <v/>
      </c>
      <c r="R60" s="38" t="n">
        <f aca="false">N60*(1+IF(Q60="SÍ",Supuestos!$B$14,0))</f>
        <v>0.0271</v>
      </c>
      <c r="S60" s="10" t="n">
        <f aca="false">M60*R60</f>
        <v>10.027</v>
      </c>
      <c r="T60" s="2"/>
      <c r="U60" s="2" t="s">
        <v>385</v>
      </c>
    </row>
    <row r="61" customFormat="false" ht="15" hidden="false" customHeight="false" outlineLevel="0" collapsed="false">
      <c r="A61" s="2" t="s">
        <v>442</v>
      </c>
      <c r="B61" s="2" t="s">
        <v>443</v>
      </c>
      <c r="C61" s="2" t="s">
        <v>444</v>
      </c>
      <c r="D61" s="2" t="s">
        <v>236</v>
      </c>
      <c r="E61" s="2" t="s">
        <v>237</v>
      </c>
      <c r="F61" s="2" t="s">
        <v>238</v>
      </c>
      <c r="G61" s="2" t="n">
        <v>0</v>
      </c>
      <c r="H61" s="2" t="n">
        <v>2</v>
      </c>
      <c r="I61" s="2" t="n">
        <v>0</v>
      </c>
      <c r="J61" s="35" t="n">
        <v>1</v>
      </c>
      <c r="K61" s="6" t="n">
        <f aca="false">J61*Supuestos!C$5</f>
        <v>365</v>
      </c>
      <c r="L61" s="6" t="n">
        <f aca="false">IF(OR(U61="Resistors",U61="Capacitors"),ROUNDUP(K61*Supuestos!$B$16,0)+Supuestos!$B$17,ROUNDUP(K61*Supuestos!$B$18,0)+Supuestos!$B$19)</f>
        <v>13</v>
      </c>
      <c r="M61" s="6" t="n">
        <f aca="false">K61+L61</f>
        <v>378</v>
      </c>
      <c r="N61" s="33" t="n">
        <v>0.0266</v>
      </c>
      <c r="O61" s="22" t="n">
        <v>1977922</v>
      </c>
      <c r="P61" s="6" t="n">
        <f aca="false">SUMIF(BOM_V56!$B:$B,B61,BOM_V56!$M:$M)+SUMIF(BOM_V57!$B:$B,B61,BOM_V57!$M:$M)+SUMIF(BOM_v6!$B:$B,B61,BOM_v6!$M:$M)</f>
        <v>588</v>
      </c>
      <c r="Q61" s="2" t="str">
        <f aca="false">IF(P61&gt;O61,"SÍ","")</f>
        <v/>
      </c>
      <c r="R61" s="38" t="n">
        <f aca="false">N61*(1+IF(Q61="SÍ",Supuestos!$B$14,0))</f>
        <v>0.0266</v>
      </c>
      <c r="S61" s="10" t="n">
        <f aca="false">M61*R61</f>
        <v>10.0548</v>
      </c>
      <c r="T61" s="2"/>
      <c r="U61" s="2" t="s">
        <v>239</v>
      </c>
    </row>
    <row r="62" customFormat="false" ht="15" hidden="false" customHeight="false" outlineLevel="0" collapsed="false">
      <c r="A62" s="2" t="s">
        <v>449</v>
      </c>
      <c r="B62" s="2" t="s">
        <v>450</v>
      </c>
      <c r="C62" s="2" t="s">
        <v>451</v>
      </c>
      <c r="D62" s="2" t="s">
        <v>236</v>
      </c>
      <c r="E62" s="2" t="s">
        <v>316</v>
      </c>
      <c r="F62" s="2" t="s">
        <v>238</v>
      </c>
      <c r="G62" s="2" t="n">
        <v>0</v>
      </c>
      <c r="H62" s="2" t="n">
        <v>2</v>
      </c>
      <c r="I62" s="2" t="n">
        <v>0</v>
      </c>
      <c r="J62" s="35" t="n">
        <v>2</v>
      </c>
      <c r="K62" s="6" t="n">
        <f aca="false">J62*Supuestos!C$5</f>
        <v>730</v>
      </c>
      <c r="L62" s="6" t="n">
        <f aca="false">IF(OR(U62="Resistors",U62="Capacitors"),ROUNDUP(K62*Supuestos!$B$16,0)+Supuestos!$B$17,ROUNDUP(K62*Supuestos!$B$18,0)+Supuestos!$B$19)</f>
        <v>20</v>
      </c>
      <c r="M62" s="6" t="n">
        <f aca="false">K62+L62</f>
        <v>750</v>
      </c>
      <c r="N62" s="33" t="n">
        <v>0.0132</v>
      </c>
      <c r="O62" s="22" t="n">
        <v>271449</v>
      </c>
      <c r="P62" s="6" t="n">
        <f aca="false">SUMIF(BOM_V56!$B:$B,B62,BOM_V56!$M:$M)+SUMIF(BOM_V57!$B:$B,B62,BOM_V57!$M:$M)+SUMIF(BOM_v6!$B:$B,B62,BOM_v6!$M:$M)</f>
        <v>1031</v>
      </c>
      <c r="Q62" s="2" t="str">
        <f aca="false">IF(P62&gt;O62,"SÍ","")</f>
        <v/>
      </c>
      <c r="R62" s="38" t="n">
        <f aca="false">N62*(1+IF(Q62="SÍ",Supuestos!$B$14,0))</f>
        <v>0.0132</v>
      </c>
      <c r="S62" s="10" t="n">
        <f aca="false">M62*R62</f>
        <v>9.9</v>
      </c>
      <c r="T62" s="2"/>
      <c r="U62" s="2" t="s">
        <v>239</v>
      </c>
    </row>
    <row r="63" customFormat="false" ht="15" hidden="false" customHeight="false" outlineLevel="0" collapsed="false">
      <c r="A63" s="2" t="s">
        <v>616</v>
      </c>
      <c r="B63" s="2" t="s">
        <v>446</v>
      </c>
      <c r="C63" s="2" t="s">
        <v>447</v>
      </c>
      <c r="D63" s="2" t="s">
        <v>448</v>
      </c>
      <c r="E63" s="2" t="s">
        <v>316</v>
      </c>
      <c r="F63" s="2" t="s">
        <v>238</v>
      </c>
      <c r="G63" s="2" t="n">
        <v>0</v>
      </c>
      <c r="H63" s="2" t="n">
        <v>2</v>
      </c>
      <c r="I63" s="2" t="n">
        <v>0</v>
      </c>
      <c r="J63" s="35" t="n">
        <v>11</v>
      </c>
      <c r="K63" s="6" t="n">
        <f aca="false">J63*Supuestos!C$5</f>
        <v>4015</v>
      </c>
      <c r="L63" s="6" t="n">
        <f aca="false">IF(OR(U63="Resistors",U63="Capacitors"),ROUNDUP(K63*Supuestos!$B$16,0)+Supuestos!$B$17,ROUNDUP(K63*Supuestos!$B$18,0)+Supuestos!$B$19)</f>
        <v>86</v>
      </c>
      <c r="M63" s="6" t="n">
        <f aca="false">K63+L63</f>
        <v>4101</v>
      </c>
      <c r="N63" s="33" t="n">
        <v>0.0024</v>
      </c>
      <c r="O63" s="22" t="n">
        <v>17862685</v>
      </c>
      <c r="P63" s="6" t="n">
        <f aca="false">SUMIF(BOM_V56!$B:$B,B63,BOM_V56!$M:$M)+SUMIF(BOM_V57!$B:$B,B63,BOM_V57!$M:$M)+SUMIF(BOM_v6!$B:$B,B63,BOM_v6!$M:$M)</f>
        <v>7141</v>
      </c>
      <c r="Q63" s="2" t="str">
        <f aca="false">IF(P63&gt;O63,"SÍ","")</f>
        <v/>
      </c>
      <c r="R63" s="38" t="n">
        <f aca="false">N63*(1+IF(Q63="SÍ",Supuestos!$B$14,0))</f>
        <v>0.0024</v>
      </c>
      <c r="S63" s="10" t="n">
        <f aca="false">M63*R63</f>
        <v>9.8424</v>
      </c>
      <c r="T63" s="2"/>
      <c r="U63" s="2" t="s">
        <v>437</v>
      </c>
    </row>
    <row r="64" customFormat="false" ht="15" hidden="false" customHeight="false" outlineLevel="0" collapsed="false">
      <c r="A64" s="2" t="s">
        <v>452</v>
      </c>
      <c r="B64" s="2" t="s">
        <v>453</v>
      </c>
      <c r="C64" s="2" t="s">
        <v>454</v>
      </c>
      <c r="D64" s="2" t="s">
        <v>455</v>
      </c>
      <c r="E64" s="2" t="s">
        <v>456</v>
      </c>
      <c r="F64" s="2" t="s">
        <v>197</v>
      </c>
      <c r="G64" s="2" t="n">
        <v>0</v>
      </c>
      <c r="H64" s="2" t="n">
        <v>2</v>
      </c>
      <c r="I64" s="2" t="n">
        <v>0</v>
      </c>
      <c r="J64" s="35" t="n">
        <v>1</v>
      </c>
      <c r="K64" s="6" t="n">
        <f aca="false">J64*Supuestos!C$5</f>
        <v>365</v>
      </c>
      <c r="L64" s="6" t="n">
        <f aca="false">IF(OR(U64="Resistors",U64="Capacitors"),ROUNDUP(K64*Supuestos!$B$16,0)+Supuestos!$B$17,ROUNDUP(K64*Supuestos!$B$18,0)+Supuestos!$B$19)</f>
        <v>5</v>
      </c>
      <c r="M64" s="6" t="n">
        <f aca="false">K64+L64</f>
        <v>370</v>
      </c>
      <c r="N64" s="33" t="n">
        <v>0.0217</v>
      </c>
      <c r="O64" s="22" t="n">
        <v>551</v>
      </c>
      <c r="P64" s="6" t="n">
        <f aca="false">SUMIF(BOM_V56!$B:$B,B64,BOM_V56!$M:$M)+SUMIF(BOM_V57!$B:$B,B64,BOM_V57!$M:$M)+SUMIF(BOM_v6!$B:$B,B64,BOM_v6!$M:$M)</f>
        <v>570</v>
      </c>
      <c r="Q64" s="2" t="str">
        <f aca="false">IF(P64&gt;O64,"SÍ","")</f>
        <v>SÍ</v>
      </c>
      <c r="R64" s="38" t="n">
        <f aca="false">N64*(1+IF(Q64="SÍ",Supuestos!$B$14,0))</f>
        <v>0.024955</v>
      </c>
      <c r="S64" s="10" t="n">
        <f aca="false">M64*R64</f>
        <v>9.23335</v>
      </c>
      <c r="T64" s="2"/>
      <c r="U64" s="2" t="s">
        <v>385</v>
      </c>
    </row>
    <row r="65" customFormat="false" ht="15" hidden="false" customHeight="false" outlineLevel="0" collapsed="false">
      <c r="A65" s="2" t="s">
        <v>460</v>
      </c>
      <c r="B65" s="2" t="s">
        <v>461</v>
      </c>
      <c r="C65" s="2" t="s">
        <v>462</v>
      </c>
      <c r="D65" s="2" t="s">
        <v>448</v>
      </c>
      <c r="E65" s="2" t="s">
        <v>316</v>
      </c>
      <c r="F65" s="2" t="s">
        <v>238</v>
      </c>
      <c r="G65" s="2" t="n">
        <v>0</v>
      </c>
      <c r="H65" s="2" t="n">
        <v>2</v>
      </c>
      <c r="I65" s="2" t="n">
        <v>0</v>
      </c>
      <c r="J65" s="35" t="n">
        <v>15</v>
      </c>
      <c r="K65" s="6" t="n">
        <f aca="false">J65*Supuestos!C$5</f>
        <v>5475</v>
      </c>
      <c r="L65" s="6" t="n">
        <f aca="false">IF(OR(U65="Resistors",U65="Capacitors"),ROUNDUP(K65*Supuestos!$B$16,0)+Supuestos!$B$17,ROUNDUP(K65*Supuestos!$B$18,0)+Supuestos!$B$19)</f>
        <v>115</v>
      </c>
      <c r="M65" s="6" t="n">
        <f aca="false">K65+L65</f>
        <v>5590</v>
      </c>
      <c r="N65" s="33" t="n">
        <v>0.0016</v>
      </c>
      <c r="O65" s="22" t="n">
        <v>39448110</v>
      </c>
      <c r="P65" s="6" t="n">
        <f aca="false">SUMIF(BOM_V56!$B:$B,B65,BOM_V56!$M:$M)+SUMIF(BOM_V57!$B:$B,B65,BOM_V57!$M:$M)+SUMIF(BOM_v6!$B:$B,B65,BOM_v6!$M:$M)</f>
        <v>8584</v>
      </c>
      <c r="Q65" s="2" t="str">
        <f aca="false">IF(P65&gt;O65,"SÍ","")</f>
        <v/>
      </c>
      <c r="R65" s="38" t="n">
        <f aca="false">N65*(1+IF(Q65="SÍ",Supuestos!$B$14,0))</f>
        <v>0.0016</v>
      </c>
      <c r="S65" s="10" t="n">
        <f aca="false">M65*R65</f>
        <v>8.944</v>
      </c>
      <c r="T65" s="2"/>
      <c r="U65" s="2" t="s">
        <v>437</v>
      </c>
    </row>
    <row r="66" customFormat="false" ht="15" hidden="false" customHeight="false" outlineLevel="0" collapsed="false">
      <c r="A66" s="2" t="s">
        <v>463</v>
      </c>
      <c r="B66" s="2" t="s">
        <v>464</v>
      </c>
      <c r="C66" s="2" t="s">
        <v>465</v>
      </c>
      <c r="D66" s="2" t="s">
        <v>236</v>
      </c>
      <c r="E66" s="2" t="s">
        <v>316</v>
      </c>
      <c r="F66" s="2" t="s">
        <v>238</v>
      </c>
      <c r="G66" s="2" t="n">
        <v>0</v>
      </c>
      <c r="H66" s="2" t="n">
        <v>2</v>
      </c>
      <c r="I66" s="2" t="n">
        <v>0</v>
      </c>
      <c r="J66" s="35" t="n">
        <v>2</v>
      </c>
      <c r="K66" s="6" t="n">
        <f aca="false">J66*Supuestos!C$5</f>
        <v>730</v>
      </c>
      <c r="L66" s="6" t="n">
        <f aca="false">IF(OR(U66="Resistors",U66="Capacitors"),ROUNDUP(K66*Supuestos!$B$16,0)+Supuestos!$B$17,ROUNDUP(K66*Supuestos!$B$18,0)+Supuestos!$B$19)</f>
        <v>20</v>
      </c>
      <c r="M66" s="6" t="n">
        <f aca="false">K66+L66</f>
        <v>750</v>
      </c>
      <c r="N66" s="33" t="n">
        <v>0.0109</v>
      </c>
      <c r="O66" s="22" t="n">
        <v>3660729</v>
      </c>
      <c r="P66" s="6" t="n">
        <f aca="false">SUMIF(BOM_V56!$B:$B,B66,BOM_V56!$M:$M)+SUMIF(BOM_V57!$B:$B,B66,BOM_V57!$M:$M)+SUMIF(BOM_v6!$B:$B,B66,BOM_v6!$M:$M)</f>
        <v>1159</v>
      </c>
      <c r="Q66" s="2" t="str">
        <f aca="false">IF(P66&gt;O66,"SÍ","")</f>
        <v/>
      </c>
      <c r="R66" s="38" t="n">
        <f aca="false">N66*(1+IF(Q66="SÍ",Supuestos!$B$14,0))</f>
        <v>0.0109</v>
      </c>
      <c r="S66" s="10" t="n">
        <f aca="false">M66*R66</f>
        <v>8.175</v>
      </c>
      <c r="T66" s="2"/>
      <c r="U66" s="2" t="s">
        <v>239</v>
      </c>
    </row>
    <row r="67" customFormat="false" ht="15" hidden="false" customHeight="false" outlineLevel="0" collapsed="false">
      <c r="A67" s="2" t="s">
        <v>457</v>
      </c>
      <c r="B67" s="2" t="s">
        <v>458</v>
      </c>
      <c r="C67" s="2" t="s">
        <v>459</v>
      </c>
      <c r="D67" s="2" t="s">
        <v>236</v>
      </c>
      <c r="E67" s="2" t="s">
        <v>316</v>
      </c>
      <c r="F67" s="2" t="s">
        <v>238</v>
      </c>
      <c r="G67" s="2" t="n">
        <v>0</v>
      </c>
      <c r="H67" s="2" t="n">
        <v>2</v>
      </c>
      <c r="I67" s="2" t="n">
        <v>0</v>
      </c>
      <c r="J67" s="35" t="n">
        <v>1</v>
      </c>
      <c r="K67" s="6" t="n">
        <f aca="false">J67*Supuestos!C$5</f>
        <v>365</v>
      </c>
      <c r="L67" s="6" t="n">
        <f aca="false">IF(OR(U67="Resistors",U67="Capacitors"),ROUNDUP(K67*Supuestos!$B$16,0)+Supuestos!$B$17,ROUNDUP(K67*Supuestos!$B$18,0)+Supuestos!$B$19)</f>
        <v>13</v>
      </c>
      <c r="M67" s="6" t="n">
        <f aca="false">K67+L67</f>
        <v>378</v>
      </c>
      <c r="N67" s="33" t="n">
        <v>0.0202</v>
      </c>
      <c r="O67" s="22" t="n">
        <v>12783802</v>
      </c>
      <c r="P67" s="6" t="n">
        <f aca="false">SUMIF(BOM_V56!$B:$B,B67,BOM_V56!$M:$M)+SUMIF(BOM_V57!$B:$B,B67,BOM_V57!$M:$M)+SUMIF(BOM_v6!$B:$B,B67,BOM_v6!$M:$M)</f>
        <v>521</v>
      </c>
      <c r="Q67" s="2" t="str">
        <f aca="false">IF(P67&gt;O67,"SÍ","")</f>
        <v/>
      </c>
      <c r="R67" s="38" t="n">
        <f aca="false">N67*(1+IF(Q67="SÍ",Supuestos!$B$14,0))</f>
        <v>0.0202</v>
      </c>
      <c r="S67" s="10" t="n">
        <f aca="false">M67*R67</f>
        <v>7.6356</v>
      </c>
      <c r="T67" s="2"/>
      <c r="U67" s="2" t="s">
        <v>239</v>
      </c>
    </row>
    <row r="68" customFormat="false" ht="15" hidden="false" customHeight="false" outlineLevel="0" collapsed="false">
      <c r="A68" s="2" t="s">
        <v>466</v>
      </c>
      <c r="B68" s="2" t="s">
        <v>467</v>
      </c>
      <c r="C68" s="2" t="s">
        <v>468</v>
      </c>
      <c r="D68" s="2" t="s">
        <v>469</v>
      </c>
      <c r="E68" s="39" t="s">
        <v>470</v>
      </c>
      <c r="F68" s="2" t="s">
        <v>197</v>
      </c>
      <c r="G68" s="2" t="n">
        <v>1</v>
      </c>
      <c r="H68" s="2" t="n">
        <v>0</v>
      </c>
      <c r="I68" s="2" t="n">
        <v>4</v>
      </c>
      <c r="J68" s="35" t="n">
        <v>1</v>
      </c>
      <c r="K68" s="6" t="n">
        <f aca="false">J68*Supuestos!C$5</f>
        <v>365</v>
      </c>
      <c r="L68" s="6" t="n">
        <f aca="false">IF(OR(U68="Resistors",U68="Capacitors"),ROUNDUP(K68*Supuestos!$B$16,0)+Supuestos!$B$17,ROUNDUP(K68*Supuestos!$B$18,0)+Supuestos!$B$19)</f>
        <v>5</v>
      </c>
      <c r="M68" s="6" t="n">
        <f aca="false">K68+L68</f>
        <v>370</v>
      </c>
      <c r="N68" s="33" t="n">
        <v>0.0199</v>
      </c>
      <c r="O68" s="22" t="n">
        <v>32332</v>
      </c>
      <c r="P68" s="6" t="n">
        <f aca="false">SUMIF(BOM_V56!$B:$B,B68,BOM_V56!$M:$M)+SUMIF(BOM_V57!$B:$B,B68,BOM_V57!$M:$M)+SUMIF(BOM_v6!$B:$B,B68,BOM_v6!$M:$M)</f>
        <v>570</v>
      </c>
      <c r="Q68" s="2" t="str">
        <f aca="false">IF(P68&gt;O68,"SÍ","")</f>
        <v/>
      </c>
      <c r="R68" s="38" t="n">
        <f aca="false">N68*(1+IF(Q68="SÍ",Supuestos!$B$14,0))</f>
        <v>0.0199</v>
      </c>
      <c r="S68" s="10" t="n">
        <f aca="false">M68*R68</f>
        <v>7.363</v>
      </c>
      <c r="T68" s="2"/>
      <c r="U68" s="2" t="s">
        <v>254</v>
      </c>
    </row>
    <row r="69" customFormat="false" ht="15" hidden="false" customHeight="false" outlineLevel="0" collapsed="false">
      <c r="A69" s="2" t="s">
        <v>471</v>
      </c>
      <c r="B69" s="2" t="s">
        <v>472</v>
      </c>
      <c r="C69" s="2" t="s">
        <v>473</v>
      </c>
      <c r="D69" s="2" t="s">
        <v>455</v>
      </c>
      <c r="E69" s="2" t="s">
        <v>379</v>
      </c>
      <c r="F69" s="2" t="s">
        <v>238</v>
      </c>
      <c r="G69" s="2" t="n">
        <v>0</v>
      </c>
      <c r="H69" s="2" t="n">
        <v>3</v>
      </c>
      <c r="I69" s="2" t="n">
        <v>0</v>
      </c>
      <c r="J69" s="35" t="n">
        <v>2</v>
      </c>
      <c r="K69" s="6" t="n">
        <f aca="false">J69*Supuestos!C$5</f>
        <v>730</v>
      </c>
      <c r="L69" s="6" t="n">
        <f aca="false">IF(OR(U69="Resistors",U69="Capacitors"),ROUNDUP(K69*Supuestos!$B$16,0)+Supuestos!$B$17,ROUNDUP(K69*Supuestos!$B$18,0)+Supuestos!$B$19)</f>
        <v>9</v>
      </c>
      <c r="M69" s="6" t="n">
        <f aca="false">K69+L69</f>
        <v>739</v>
      </c>
      <c r="N69" s="33" t="n">
        <v>0.0092</v>
      </c>
      <c r="O69" s="22" t="n">
        <v>2111143</v>
      </c>
      <c r="P69" s="6" t="n">
        <f aca="false">SUMIF(BOM_V56!$B:$B,B69,BOM_V56!$M:$M)+SUMIF(BOM_V57!$B:$B,B69,BOM_V57!$M:$M)+SUMIF(BOM_v6!$B:$B,B69,BOM_v6!$M:$M)</f>
        <v>1136</v>
      </c>
      <c r="Q69" s="2" t="str">
        <f aca="false">IF(P69&gt;O69,"SÍ","")</f>
        <v/>
      </c>
      <c r="R69" s="38" t="n">
        <f aca="false">N69*(1+IF(Q69="SÍ",Supuestos!$B$14,0))</f>
        <v>0.0092</v>
      </c>
      <c r="S69" s="10" t="n">
        <f aca="false">M69*R69</f>
        <v>6.7988</v>
      </c>
      <c r="T69" s="2"/>
      <c r="U69" s="2" t="s">
        <v>291</v>
      </c>
    </row>
    <row r="70" customFormat="false" ht="15" hidden="false" customHeight="false" outlineLevel="0" collapsed="false">
      <c r="A70" s="2" t="s">
        <v>474</v>
      </c>
      <c r="B70" s="2" t="s">
        <v>475</v>
      </c>
      <c r="C70" s="2" t="s">
        <v>476</v>
      </c>
      <c r="D70" s="2" t="s">
        <v>477</v>
      </c>
      <c r="E70" s="2" t="s">
        <v>316</v>
      </c>
      <c r="F70" s="2" t="s">
        <v>197</v>
      </c>
      <c r="G70" s="2" t="n">
        <v>0</v>
      </c>
      <c r="H70" s="2" t="n">
        <v>2</v>
      </c>
      <c r="I70" s="2" t="n">
        <v>0</v>
      </c>
      <c r="J70" s="35" t="n">
        <v>1</v>
      </c>
      <c r="K70" s="6" t="n">
        <f aca="false">J70*Supuestos!C$5</f>
        <v>365</v>
      </c>
      <c r="L70" s="6" t="n">
        <f aca="false">IF(OR(U70="Resistors",U70="Capacitors"),ROUNDUP(K70*Supuestos!$B$16,0)+Supuestos!$B$17,ROUNDUP(K70*Supuestos!$B$18,0)+Supuestos!$B$19)</f>
        <v>5</v>
      </c>
      <c r="M70" s="6" t="n">
        <f aca="false">K70+L70</f>
        <v>370</v>
      </c>
      <c r="N70" s="33" t="n">
        <v>0.0184</v>
      </c>
      <c r="O70" s="22" t="n">
        <v>120188</v>
      </c>
      <c r="P70" s="6" t="n">
        <f aca="false">SUMIF(BOM_V56!$B:$B,B70,BOM_V56!$M:$M)+SUMIF(BOM_V57!$B:$B,B70,BOM_V57!$M:$M)+SUMIF(BOM_v6!$B:$B,B70,BOM_v6!$M:$M)</f>
        <v>570</v>
      </c>
      <c r="Q70" s="2" t="str">
        <f aca="false">IF(P70&gt;O70,"SÍ","")</f>
        <v/>
      </c>
      <c r="R70" s="38" t="n">
        <f aca="false">N70*(1+IF(Q70="SÍ",Supuestos!$B$14,0))</f>
        <v>0.0184</v>
      </c>
      <c r="S70" s="10" t="n">
        <f aca="false">M70*R70</f>
        <v>6.808</v>
      </c>
      <c r="T70" s="2"/>
      <c r="U70" s="2" t="s">
        <v>421</v>
      </c>
    </row>
    <row r="71" customFormat="false" ht="15" hidden="false" customHeight="false" outlineLevel="0" collapsed="false">
      <c r="A71" s="2" t="s">
        <v>478</v>
      </c>
      <c r="B71" s="2" t="s">
        <v>479</v>
      </c>
      <c r="C71" s="2" t="s">
        <v>480</v>
      </c>
      <c r="D71" s="2" t="s">
        <v>477</v>
      </c>
      <c r="E71" s="2" t="s">
        <v>316</v>
      </c>
      <c r="F71" s="2" t="s">
        <v>197</v>
      </c>
      <c r="G71" s="2" t="n">
        <v>0</v>
      </c>
      <c r="H71" s="2" t="n">
        <v>2</v>
      </c>
      <c r="I71" s="2" t="n">
        <v>0</v>
      </c>
      <c r="J71" s="35" t="n">
        <v>1</v>
      </c>
      <c r="K71" s="6" t="n">
        <f aca="false">J71*Supuestos!C$5</f>
        <v>365</v>
      </c>
      <c r="L71" s="6" t="n">
        <f aca="false">IF(OR(U71="Resistors",U71="Capacitors"),ROUNDUP(K71*Supuestos!$B$16,0)+Supuestos!$B$17,ROUNDUP(K71*Supuestos!$B$18,0)+Supuestos!$B$19)</f>
        <v>5</v>
      </c>
      <c r="M71" s="6" t="n">
        <f aca="false">K71+L71</f>
        <v>370</v>
      </c>
      <c r="N71" s="33" t="n">
        <v>0.0182</v>
      </c>
      <c r="O71" s="22" t="n">
        <v>66503</v>
      </c>
      <c r="P71" s="6" t="n">
        <f aca="false">SUMIF(BOM_V56!$B:$B,B71,BOM_V56!$M:$M)+SUMIF(BOM_V57!$B:$B,B71,BOM_V57!$M:$M)+SUMIF(BOM_v6!$B:$B,B71,BOM_v6!$M:$M)</f>
        <v>570</v>
      </c>
      <c r="Q71" s="2" t="str">
        <f aca="false">IF(P71&gt;O71,"SÍ","")</f>
        <v/>
      </c>
      <c r="R71" s="38" t="n">
        <f aca="false">N71*(1+IF(Q71="SÍ",Supuestos!$B$14,0))</f>
        <v>0.0182</v>
      </c>
      <c r="S71" s="10" t="n">
        <f aca="false">M71*R71</f>
        <v>6.734</v>
      </c>
      <c r="T71" s="2"/>
      <c r="U71" s="2" t="s">
        <v>421</v>
      </c>
    </row>
    <row r="72" customFormat="false" ht="15" hidden="false" customHeight="false" outlineLevel="0" collapsed="false">
      <c r="A72" s="2" t="s">
        <v>481</v>
      </c>
      <c r="B72" s="2" t="s">
        <v>482</v>
      </c>
      <c r="C72" s="2" t="s">
        <v>483</v>
      </c>
      <c r="D72" s="2" t="s">
        <v>236</v>
      </c>
      <c r="E72" s="2" t="s">
        <v>316</v>
      </c>
      <c r="F72" s="2" t="s">
        <v>238</v>
      </c>
      <c r="G72" s="2" t="n">
        <v>0</v>
      </c>
      <c r="H72" s="2" t="n">
        <v>2</v>
      </c>
      <c r="I72" s="2" t="n">
        <v>0</v>
      </c>
      <c r="J72" s="35" t="n">
        <v>2</v>
      </c>
      <c r="K72" s="6" t="n">
        <f aca="false">J72*Supuestos!C$5</f>
        <v>730</v>
      </c>
      <c r="L72" s="6" t="n">
        <f aca="false">IF(OR(U72="Resistors",U72="Capacitors"),ROUNDUP(K72*Supuestos!$B$16,0)+Supuestos!$B$17,ROUNDUP(K72*Supuestos!$B$18,0)+Supuestos!$B$19)</f>
        <v>20</v>
      </c>
      <c r="M72" s="6" t="n">
        <f aca="false">K72+L72</f>
        <v>750</v>
      </c>
      <c r="N72" s="33" t="n">
        <v>0.009</v>
      </c>
      <c r="O72" s="22" t="n">
        <v>637117</v>
      </c>
      <c r="P72" s="6" t="n">
        <f aca="false">SUMIF(BOM_V56!$B:$B,B72,BOM_V56!$M:$M)+SUMIF(BOM_V57!$B:$B,B72,BOM_V57!$M:$M)+SUMIF(BOM_v6!$B:$B,B72,BOM_v6!$M:$M)</f>
        <v>1159</v>
      </c>
      <c r="Q72" s="2" t="str">
        <f aca="false">IF(P72&gt;O72,"SÍ","")</f>
        <v/>
      </c>
      <c r="R72" s="38" t="n">
        <f aca="false">N72*(1+IF(Q72="SÍ",Supuestos!$B$14,0))</f>
        <v>0.009</v>
      </c>
      <c r="S72" s="10" t="n">
        <f aca="false">M72*R72</f>
        <v>6.75</v>
      </c>
      <c r="T72" s="2"/>
      <c r="U72" s="2" t="s">
        <v>239</v>
      </c>
    </row>
    <row r="73" customFormat="false" ht="15" hidden="false" customHeight="false" outlineLevel="0" collapsed="false">
      <c r="A73" s="2" t="s">
        <v>484</v>
      </c>
      <c r="B73" s="2" t="s">
        <v>485</v>
      </c>
      <c r="C73" s="2" t="s">
        <v>486</v>
      </c>
      <c r="D73" s="2" t="s">
        <v>236</v>
      </c>
      <c r="E73" s="2" t="s">
        <v>316</v>
      </c>
      <c r="F73" s="2" t="s">
        <v>238</v>
      </c>
      <c r="G73" s="2" t="n">
        <v>0</v>
      </c>
      <c r="H73" s="2" t="n">
        <v>2</v>
      </c>
      <c r="I73" s="2" t="n">
        <v>0</v>
      </c>
      <c r="J73" s="35" t="n">
        <v>2</v>
      </c>
      <c r="K73" s="6" t="n">
        <f aca="false">J73*Supuestos!C$5</f>
        <v>730</v>
      </c>
      <c r="L73" s="6" t="n">
        <f aca="false">IF(OR(U73="Resistors",U73="Capacitors"),ROUNDUP(K73*Supuestos!$B$16,0)+Supuestos!$B$17,ROUNDUP(K73*Supuestos!$B$18,0)+Supuestos!$B$19)</f>
        <v>20</v>
      </c>
      <c r="M73" s="6" t="n">
        <f aca="false">K73+L73</f>
        <v>750</v>
      </c>
      <c r="N73" s="33" t="n">
        <v>0.0084</v>
      </c>
      <c r="O73" s="22" t="n">
        <v>1119034</v>
      </c>
      <c r="P73" s="6" t="n">
        <f aca="false">SUMIF(BOM_V56!$B:$B,B73,BOM_V56!$M:$M)+SUMIF(BOM_V57!$B:$B,B73,BOM_V57!$M:$M)+SUMIF(BOM_v6!$B:$B,B73,BOM_v6!$M:$M)</f>
        <v>1031</v>
      </c>
      <c r="Q73" s="2" t="str">
        <f aca="false">IF(P73&gt;O73,"SÍ","")</f>
        <v/>
      </c>
      <c r="R73" s="38" t="n">
        <f aca="false">N73*(1+IF(Q73="SÍ",Supuestos!$B$14,0))</f>
        <v>0.0084</v>
      </c>
      <c r="S73" s="10" t="n">
        <f aca="false">M73*R73</f>
        <v>6.3</v>
      </c>
      <c r="T73" s="2"/>
      <c r="U73" s="2" t="s">
        <v>239</v>
      </c>
    </row>
    <row r="74" customFormat="false" ht="15" hidden="false" customHeight="false" outlineLevel="0" collapsed="false">
      <c r="A74" s="2" t="s">
        <v>494</v>
      </c>
      <c r="B74" s="2" t="s">
        <v>495</v>
      </c>
      <c r="C74" s="2" t="s">
        <v>496</v>
      </c>
      <c r="D74" s="2" t="s">
        <v>236</v>
      </c>
      <c r="E74" s="2" t="s">
        <v>316</v>
      </c>
      <c r="F74" s="2" t="s">
        <v>197</v>
      </c>
      <c r="G74" s="2" t="n">
        <v>0</v>
      </c>
      <c r="H74" s="2" t="n">
        <v>2</v>
      </c>
      <c r="I74" s="2" t="n">
        <v>0</v>
      </c>
      <c r="J74" s="35" t="n">
        <v>1</v>
      </c>
      <c r="K74" s="6" t="n">
        <f aca="false">J74*Supuestos!C$5</f>
        <v>365</v>
      </c>
      <c r="L74" s="6" t="n">
        <f aca="false">IF(OR(U74="Resistors",U74="Capacitors"),ROUNDUP(K74*Supuestos!$B$16,0)+Supuestos!$B$17,ROUNDUP(K74*Supuestos!$B$18,0)+Supuestos!$B$19)</f>
        <v>13</v>
      </c>
      <c r="M74" s="6" t="n">
        <f aca="false">K74+L74</f>
        <v>378</v>
      </c>
      <c r="N74" s="33" t="n">
        <v>0.0155</v>
      </c>
      <c r="O74" s="22" t="n">
        <v>132824</v>
      </c>
      <c r="P74" s="6" t="n">
        <f aca="false">SUMIF(BOM_V56!$B:$B,B74,BOM_V56!$M:$M)+SUMIF(BOM_V57!$B:$B,B74,BOM_V57!$M:$M)+SUMIF(BOM_v6!$B:$B,B74,BOM_v6!$M:$M)</f>
        <v>521</v>
      </c>
      <c r="Q74" s="2" t="str">
        <f aca="false">IF(P74&gt;O74,"SÍ","")</f>
        <v/>
      </c>
      <c r="R74" s="38" t="n">
        <f aca="false">N74*(1+IF(Q74="SÍ",Supuestos!$B$14,0))</f>
        <v>0.0155</v>
      </c>
      <c r="S74" s="10" t="n">
        <f aca="false">M74*R74</f>
        <v>5.859</v>
      </c>
      <c r="T74" s="2"/>
      <c r="U74" s="2" t="s">
        <v>239</v>
      </c>
    </row>
    <row r="75" customFormat="false" ht="15" hidden="false" customHeight="false" outlineLevel="0" collapsed="false">
      <c r="A75" s="2" t="s">
        <v>500</v>
      </c>
      <c r="B75" s="2" t="s">
        <v>501</v>
      </c>
      <c r="C75" s="2" t="s">
        <v>502</v>
      </c>
      <c r="D75" s="2" t="s">
        <v>236</v>
      </c>
      <c r="E75" s="2" t="s">
        <v>316</v>
      </c>
      <c r="F75" s="2" t="s">
        <v>238</v>
      </c>
      <c r="G75" s="2" t="n">
        <v>0</v>
      </c>
      <c r="H75" s="2" t="n">
        <v>2</v>
      </c>
      <c r="I75" s="2" t="n">
        <v>0</v>
      </c>
      <c r="J75" s="35" t="n">
        <v>1</v>
      </c>
      <c r="K75" s="6" t="n">
        <f aca="false">J75*Supuestos!C$5</f>
        <v>365</v>
      </c>
      <c r="L75" s="6" t="n">
        <f aca="false">IF(OR(U75="Resistors",U75="Capacitors"),ROUNDUP(K75*Supuestos!$B$16,0)+Supuestos!$B$17,ROUNDUP(K75*Supuestos!$B$18,0)+Supuestos!$B$19)</f>
        <v>13</v>
      </c>
      <c r="M75" s="6" t="n">
        <f aca="false">K75+L75</f>
        <v>378</v>
      </c>
      <c r="N75" s="33" t="n">
        <v>0.0146</v>
      </c>
      <c r="O75" s="22" t="n">
        <v>13331625</v>
      </c>
      <c r="P75" s="6" t="n">
        <f aca="false">SUMIF(BOM_V56!$B:$B,B75,BOM_V56!$M:$M)+SUMIF(BOM_V57!$B:$B,B75,BOM_V57!$M:$M)+SUMIF(BOM_v6!$B:$B,B75,BOM_v6!$M:$M)</f>
        <v>710</v>
      </c>
      <c r="Q75" s="2" t="str">
        <f aca="false">IF(P75&gt;O75,"SÍ","")</f>
        <v/>
      </c>
      <c r="R75" s="38" t="n">
        <f aca="false">N75*(1+IF(Q75="SÍ",Supuestos!$B$14,0))</f>
        <v>0.0146</v>
      </c>
      <c r="S75" s="10" t="n">
        <f aca="false">M75*R75</f>
        <v>5.5188</v>
      </c>
      <c r="T75" s="2"/>
      <c r="U75" s="2" t="s">
        <v>239</v>
      </c>
    </row>
    <row r="76" customFormat="false" ht="15" hidden="false" customHeight="false" outlineLevel="0" collapsed="false">
      <c r="A76" s="2" t="s">
        <v>503</v>
      </c>
      <c r="B76" s="2" t="s">
        <v>504</v>
      </c>
      <c r="C76" s="2" t="s">
        <v>505</v>
      </c>
      <c r="D76" s="2" t="s">
        <v>448</v>
      </c>
      <c r="E76" s="2" t="s">
        <v>316</v>
      </c>
      <c r="F76" s="2" t="s">
        <v>238</v>
      </c>
      <c r="G76" s="2" t="n">
        <v>0</v>
      </c>
      <c r="H76" s="2" t="n">
        <v>2</v>
      </c>
      <c r="I76" s="2" t="n">
        <v>0</v>
      </c>
      <c r="J76" s="35" t="n">
        <v>9</v>
      </c>
      <c r="K76" s="6" t="n">
        <f aca="false">J76*Supuestos!C$5</f>
        <v>3285</v>
      </c>
      <c r="L76" s="6" t="n">
        <f aca="false">IF(OR(U76="Resistors",U76="Capacitors"),ROUNDUP(K76*Supuestos!$B$16,0)+Supuestos!$B$17,ROUNDUP(K76*Supuestos!$B$18,0)+Supuestos!$B$19)</f>
        <v>71</v>
      </c>
      <c r="M76" s="6" t="n">
        <f aca="false">K76+L76</f>
        <v>3356</v>
      </c>
      <c r="N76" s="33" t="n">
        <v>0.0015</v>
      </c>
      <c r="O76" s="22" t="n">
        <v>2349853</v>
      </c>
      <c r="P76" s="6" t="n">
        <f aca="false">SUMIF(BOM_V56!$B:$B,B76,BOM_V56!$M:$M)+SUMIF(BOM_V57!$B:$B,B76,BOM_V57!$M:$M)+SUMIF(BOM_v6!$B:$B,B76,BOM_v6!$M:$M)</f>
        <v>5157</v>
      </c>
      <c r="Q76" s="2" t="str">
        <f aca="false">IF(P76&gt;O76,"SÍ","")</f>
        <v/>
      </c>
      <c r="R76" s="38" t="n">
        <f aca="false">N76*(1+IF(Q76="SÍ",Supuestos!$B$14,0))</f>
        <v>0.0015</v>
      </c>
      <c r="S76" s="10" t="n">
        <f aca="false">M76*R76</f>
        <v>5.034</v>
      </c>
      <c r="T76" s="2"/>
      <c r="U76" s="2" t="s">
        <v>437</v>
      </c>
    </row>
    <row r="77" customFormat="false" ht="15" hidden="false" customHeight="false" outlineLevel="0" collapsed="false">
      <c r="A77" s="2" t="s">
        <v>509</v>
      </c>
      <c r="B77" s="2" t="s">
        <v>510</v>
      </c>
      <c r="C77" s="2" t="s">
        <v>511</v>
      </c>
      <c r="D77" s="2" t="s">
        <v>236</v>
      </c>
      <c r="E77" s="2" t="s">
        <v>316</v>
      </c>
      <c r="F77" s="2" t="s">
        <v>238</v>
      </c>
      <c r="G77" s="2" t="n">
        <v>0</v>
      </c>
      <c r="H77" s="2" t="n">
        <v>2</v>
      </c>
      <c r="I77" s="2" t="n">
        <v>0</v>
      </c>
      <c r="J77" s="35" t="n">
        <v>1</v>
      </c>
      <c r="K77" s="6" t="n">
        <f aca="false">J77*Supuestos!C$5</f>
        <v>365</v>
      </c>
      <c r="L77" s="6" t="n">
        <f aca="false">IF(OR(U77="Resistors",U77="Capacitors"),ROUNDUP(K77*Supuestos!$B$16,0)+Supuestos!$B$17,ROUNDUP(K77*Supuestos!$B$18,0)+Supuestos!$B$19)</f>
        <v>13</v>
      </c>
      <c r="M77" s="6" t="n">
        <f aca="false">K77+L77</f>
        <v>378</v>
      </c>
      <c r="N77" s="33" t="n">
        <v>0.0125</v>
      </c>
      <c r="O77" s="22" t="n">
        <v>3098644</v>
      </c>
      <c r="P77" s="6" t="n">
        <f aca="false">SUMIF(BOM_V56!$B:$B,B77,BOM_V56!$M:$M)+SUMIF(BOM_V57!$B:$B,B77,BOM_V57!$M:$M)+SUMIF(BOM_v6!$B:$B,B77,BOM_v6!$M:$M)</f>
        <v>649</v>
      </c>
      <c r="Q77" s="2" t="str">
        <f aca="false">IF(P77&gt;O77,"SÍ","")</f>
        <v/>
      </c>
      <c r="R77" s="38" t="n">
        <f aca="false">N77*(1+IF(Q77="SÍ",Supuestos!$B$14,0))</f>
        <v>0.0125</v>
      </c>
      <c r="S77" s="10" t="n">
        <f aca="false">M77*R77</f>
        <v>4.725</v>
      </c>
      <c r="T77" s="2"/>
      <c r="U77" s="2" t="s">
        <v>239</v>
      </c>
    </row>
    <row r="78" customFormat="false" ht="15" hidden="false" customHeight="false" outlineLevel="0" collapsed="false">
      <c r="A78" s="2" t="s">
        <v>512</v>
      </c>
      <c r="B78" s="2" t="s">
        <v>513</v>
      </c>
      <c r="C78" s="2" t="s">
        <v>514</v>
      </c>
      <c r="D78" s="2" t="s">
        <v>515</v>
      </c>
      <c r="E78" s="2" t="s">
        <v>456</v>
      </c>
      <c r="F78" s="2" t="s">
        <v>238</v>
      </c>
      <c r="G78" s="2" t="n">
        <v>0</v>
      </c>
      <c r="H78" s="2" t="n">
        <v>2</v>
      </c>
      <c r="I78" s="2" t="n">
        <v>0</v>
      </c>
      <c r="J78" s="35" t="n">
        <v>1</v>
      </c>
      <c r="K78" s="6" t="n">
        <f aca="false">J78*Supuestos!C$5</f>
        <v>365</v>
      </c>
      <c r="L78" s="6" t="n">
        <f aca="false">IF(OR(U78="Resistors",U78="Capacitors"),ROUNDUP(K78*Supuestos!$B$16,0)+Supuestos!$B$17,ROUNDUP(K78*Supuestos!$B$18,0)+Supuestos!$B$19)</f>
        <v>5</v>
      </c>
      <c r="M78" s="6" t="n">
        <f aca="false">K78+L78</f>
        <v>370</v>
      </c>
      <c r="N78" s="33" t="n">
        <v>0.0124</v>
      </c>
      <c r="O78" s="22" t="n">
        <v>4051780</v>
      </c>
      <c r="P78" s="6" t="n">
        <f aca="false">SUMIF(BOM_V56!$B:$B,B78,BOM_V56!$M:$M)+SUMIF(BOM_V57!$B:$B,B78,BOM_V57!$M:$M)+SUMIF(BOM_v6!$B:$B,B78,BOM_v6!$M:$M)</f>
        <v>508</v>
      </c>
      <c r="Q78" s="2" t="str">
        <f aca="false">IF(P78&gt;O78,"SÍ","")</f>
        <v/>
      </c>
      <c r="R78" s="38" t="n">
        <f aca="false">N78*(1+IF(Q78="SÍ",Supuestos!$B$14,0))</f>
        <v>0.0124</v>
      </c>
      <c r="S78" s="10" t="n">
        <f aca="false">M78*R78</f>
        <v>4.588</v>
      </c>
      <c r="T78" s="2"/>
      <c r="U78" s="2" t="s">
        <v>385</v>
      </c>
    </row>
    <row r="79" customFormat="false" ht="15" hidden="false" customHeight="false" outlineLevel="0" collapsed="false">
      <c r="A79" s="2" t="s">
        <v>516</v>
      </c>
      <c r="B79" s="2" t="s">
        <v>517</v>
      </c>
      <c r="C79" s="2" t="s">
        <v>518</v>
      </c>
      <c r="D79" s="2" t="s">
        <v>236</v>
      </c>
      <c r="E79" s="2" t="s">
        <v>237</v>
      </c>
      <c r="F79" s="2" t="s">
        <v>238</v>
      </c>
      <c r="G79" s="2" t="n">
        <v>0</v>
      </c>
      <c r="H79" s="2" t="n">
        <v>2</v>
      </c>
      <c r="I79" s="2" t="n">
        <v>0</v>
      </c>
      <c r="J79" s="35" t="n">
        <v>1</v>
      </c>
      <c r="K79" s="6" t="n">
        <f aca="false">J79*Supuestos!C$5</f>
        <v>365</v>
      </c>
      <c r="L79" s="6" t="n">
        <f aca="false">IF(OR(U79="Resistors",U79="Capacitors"),ROUNDUP(K79*Supuestos!$B$16,0)+Supuestos!$B$17,ROUNDUP(K79*Supuestos!$B$18,0)+Supuestos!$B$19)</f>
        <v>13</v>
      </c>
      <c r="M79" s="6" t="n">
        <f aca="false">K79+L79</f>
        <v>378</v>
      </c>
      <c r="N79" s="33" t="n">
        <v>0.0122</v>
      </c>
      <c r="O79" s="22" t="n">
        <v>1381792</v>
      </c>
      <c r="P79" s="6" t="n">
        <f aca="false">SUMIF(BOM_V56!$B:$B,B79,BOM_V56!$M:$M)+SUMIF(BOM_V57!$B:$B,B79,BOM_V57!$M:$M)+SUMIF(BOM_v6!$B:$B,B79,BOM_v6!$M:$M)</f>
        <v>521</v>
      </c>
      <c r="Q79" s="2" t="str">
        <f aca="false">IF(P79&gt;O79,"SÍ","")</f>
        <v/>
      </c>
      <c r="R79" s="38" t="n">
        <f aca="false">N79*(1+IF(Q79="SÍ",Supuestos!$B$14,0))</f>
        <v>0.0122</v>
      </c>
      <c r="S79" s="10" t="n">
        <f aca="false">M79*R79</f>
        <v>4.6116</v>
      </c>
      <c r="T79" s="2"/>
      <c r="U79" s="2" t="s">
        <v>239</v>
      </c>
    </row>
    <row r="80" customFormat="false" ht="15" hidden="false" customHeight="false" outlineLevel="0" collapsed="false">
      <c r="A80" s="2" t="s">
        <v>497</v>
      </c>
      <c r="B80" s="2" t="s">
        <v>498</v>
      </c>
      <c r="C80" s="2" t="s">
        <v>499</v>
      </c>
      <c r="D80" s="2" t="s">
        <v>236</v>
      </c>
      <c r="E80" s="2" t="s">
        <v>316</v>
      </c>
      <c r="F80" s="2" t="s">
        <v>238</v>
      </c>
      <c r="G80" s="2" t="n">
        <v>0</v>
      </c>
      <c r="H80" s="2" t="n">
        <v>2</v>
      </c>
      <c r="I80" s="2" t="n">
        <v>0</v>
      </c>
      <c r="J80" s="35" t="n">
        <v>2</v>
      </c>
      <c r="K80" s="6" t="n">
        <f aca="false">J80*Supuestos!C$5</f>
        <v>730</v>
      </c>
      <c r="L80" s="6" t="n">
        <f aca="false">IF(OR(U80="Resistors",U80="Capacitors"),ROUNDUP(K80*Supuestos!$B$16,0)+Supuestos!$B$17,ROUNDUP(K80*Supuestos!$B$18,0)+Supuestos!$B$19)</f>
        <v>20</v>
      </c>
      <c r="M80" s="6" t="n">
        <f aca="false">K80+L80</f>
        <v>750</v>
      </c>
      <c r="N80" s="33" t="n">
        <v>0.0059</v>
      </c>
      <c r="O80" s="22" t="n">
        <v>1974651</v>
      </c>
      <c r="P80" s="6" t="n">
        <f aca="false">SUMIF(BOM_V56!$B:$B,B80,BOM_V56!$M:$M)+SUMIF(BOM_V57!$B:$B,B80,BOM_V57!$M:$M)+SUMIF(BOM_v6!$B:$B,B80,BOM_v6!$M:$M)</f>
        <v>1159</v>
      </c>
      <c r="Q80" s="2" t="str">
        <f aca="false">IF(P80&gt;O80,"SÍ","")</f>
        <v/>
      </c>
      <c r="R80" s="38" t="n">
        <f aca="false">N80*(1+IF(Q80="SÍ",Supuestos!$B$14,0))</f>
        <v>0.0059</v>
      </c>
      <c r="S80" s="10" t="n">
        <f aca="false">M80*R80</f>
        <v>4.425</v>
      </c>
      <c r="T80" s="2"/>
      <c r="U80" s="2" t="s">
        <v>239</v>
      </c>
    </row>
    <row r="81" customFormat="false" ht="15" hidden="false" customHeight="false" outlineLevel="0" collapsed="false">
      <c r="A81" s="2" t="s">
        <v>617</v>
      </c>
      <c r="B81" s="2" t="s">
        <v>492</v>
      </c>
      <c r="C81" s="2" t="s">
        <v>493</v>
      </c>
      <c r="D81" s="2" t="s">
        <v>490</v>
      </c>
      <c r="E81" s="2" t="s">
        <v>316</v>
      </c>
      <c r="F81" s="2" t="s">
        <v>238</v>
      </c>
      <c r="G81" s="2" t="n">
        <v>0</v>
      </c>
      <c r="H81" s="2" t="n">
        <v>2</v>
      </c>
      <c r="I81" s="2" t="n">
        <v>0</v>
      </c>
      <c r="J81" s="35" t="n">
        <v>3</v>
      </c>
      <c r="K81" s="6" t="n">
        <f aca="false">J81*Supuestos!C$5</f>
        <v>1095</v>
      </c>
      <c r="L81" s="6" t="n">
        <f aca="false">IF(OR(U81="Resistors",U81="Capacitors"),ROUNDUP(K81*Supuestos!$B$16,0)+Supuestos!$B$17,ROUNDUP(K81*Supuestos!$B$18,0)+Supuestos!$B$19)</f>
        <v>27</v>
      </c>
      <c r="M81" s="6" t="n">
        <f aca="false">K81+L81</f>
        <v>1122</v>
      </c>
      <c r="N81" s="33" t="n">
        <v>0.0037</v>
      </c>
      <c r="O81" s="22" t="n">
        <v>5971244</v>
      </c>
      <c r="P81" s="6" t="n">
        <f aca="false">SUMIF(BOM_V56!$B:$B,B81,BOM_V56!$M:$M)+SUMIF(BOM_V57!$B:$B,B81,BOM_V57!$M:$M)+SUMIF(BOM_v6!$B:$B,B81,BOM_v6!$M:$M)</f>
        <v>1678</v>
      </c>
      <c r="Q81" s="2" t="str">
        <f aca="false">IF(P81&gt;O81,"SÍ","")</f>
        <v/>
      </c>
      <c r="R81" s="38" t="n">
        <f aca="false">N81*(1+IF(Q81="SÍ",Supuestos!$B$14,0))</f>
        <v>0.0037</v>
      </c>
      <c r="S81" s="10" t="n">
        <f aca="false">M81*R81</f>
        <v>4.1514</v>
      </c>
      <c r="T81" s="2"/>
      <c r="U81" s="2" t="s">
        <v>239</v>
      </c>
    </row>
    <row r="82" customFormat="false" ht="15" hidden="false" customHeight="false" outlineLevel="0" collapsed="false">
      <c r="A82" s="2" t="s">
        <v>618</v>
      </c>
      <c r="B82" s="2" t="s">
        <v>488</v>
      </c>
      <c r="C82" s="2" t="s">
        <v>489</v>
      </c>
      <c r="D82" s="2" t="s">
        <v>490</v>
      </c>
      <c r="E82" s="2" t="s">
        <v>316</v>
      </c>
      <c r="F82" s="2" t="s">
        <v>238</v>
      </c>
      <c r="G82" s="2" t="n">
        <v>0</v>
      </c>
      <c r="H82" s="2" t="n">
        <v>2</v>
      </c>
      <c r="I82" s="2" t="n">
        <v>0</v>
      </c>
      <c r="J82" s="35" t="n">
        <v>1</v>
      </c>
      <c r="K82" s="6" t="n">
        <f aca="false">J82*Supuestos!C$5</f>
        <v>365</v>
      </c>
      <c r="L82" s="6" t="n">
        <f aca="false">IF(OR(U82="Resistors",U82="Capacitors"),ROUNDUP(K82*Supuestos!$B$16,0)+Supuestos!$B$17,ROUNDUP(K82*Supuestos!$B$18,0)+Supuestos!$B$19)</f>
        <v>13</v>
      </c>
      <c r="M82" s="6" t="n">
        <f aca="false">K82+L82</f>
        <v>378</v>
      </c>
      <c r="N82" s="33" t="n">
        <v>0.0109</v>
      </c>
      <c r="O82" s="22" t="n">
        <v>912227</v>
      </c>
      <c r="P82" s="6" t="n">
        <f aca="false">SUMIF(BOM_V56!$B:$B,B82,BOM_V56!$M:$M)+SUMIF(BOM_V57!$B:$B,B82,BOM_V57!$M:$M)+SUMIF(BOM_v6!$B:$B,B82,BOM_v6!$M:$M)</f>
        <v>726</v>
      </c>
      <c r="Q82" s="2" t="str">
        <f aca="false">IF(P82&gt;O82,"SÍ","")</f>
        <v/>
      </c>
      <c r="R82" s="38" t="n">
        <f aca="false">N82*(1+IF(Q82="SÍ",Supuestos!$B$14,0))</f>
        <v>0.0109</v>
      </c>
      <c r="S82" s="10" t="n">
        <f aca="false">M82*R82</f>
        <v>4.1202</v>
      </c>
      <c r="T82" s="2"/>
      <c r="U82" s="2" t="s">
        <v>239</v>
      </c>
    </row>
    <row r="83" customFormat="false" ht="15" hidden="false" customHeight="false" outlineLevel="0" collapsed="false">
      <c r="A83" s="2" t="s">
        <v>519</v>
      </c>
      <c r="B83" s="2" t="s">
        <v>520</v>
      </c>
      <c r="C83" s="2" t="s">
        <v>521</v>
      </c>
      <c r="D83" s="2" t="s">
        <v>448</v>
      </c>
      <c r="E83" s="2" t="s">
        <v>316</v>
      </c>
      <c r="F83" s="2" t="s">
        <v>238</v>
      </c>
      <c r="G83" s="2" t="n">
        <v>0</v>
      </c>
      <c r="H83" s="2" t="n">
        <v>2</v>
      </c>
      <c r="I83" s="2" t="n">
        <v>0</v>
      </c>
      <c r="J83" s="35" t="n">
        <v>7</v>
      </c>
      <c r="K83" s="6" t="n">
        <f aca="false">J83*Supuestos!C$5</f>
        <v>2555</v>
      </c>
      <c r="L83" s="6" t="n">
        <f aca="false">IF(OR(U83="Resistors",U83="Capacitors"),ROUNDUP(K83*Supuestos!$B$16,0)+Supuestos!$B$17,ROUNDUP(K83*Supuestos!$B$18,0)+Supuestos!$B$19)</f>
        <v>57</v>
      </c>
      <c r="M83" s="6" t="n">
        <f aca="false">K83+L83</f>
        <v>2612</v>
      </c>
      <c r="N83" s="33" t="n">
        <v>0.0014</v>
      </c>
      <c r="O83" s="22" t="n">
        <v>34221641</v>
      </c>
      <c r="P83" s="6" t="n">
        <f aca="false">SUMIF(BOM_V56!$B:$B,B83,BOM_V56!$M:$M)+SUMIF(BOM_V57!$B:$B,B83,BOM_V57!$M:$M)+SUMIF(BOM_v6!$B:$B,B83,BOM_v6!$M:$M)</f>
        <v>3648</v>
      </c>
      <c r="Q83" s="2" t="str">
        <f aca="false">IF(P83&gt;O83,"SÍ","")</f>
        <v/>
      </c>
      <c r="R83" s="38" t="n">
        <f aca="false">N83*(1+IF(Q83="SÍ",Supuestos!$B$14,0))</f>
        <v>0.0014</v>
      </c>
      <c r="S83" s="10" t="n">
        <f aca="false">M83*R83</f>
        <v>3.6568</v>
      </c>
      <c r="T83" s="2"/>
      <c r="U83" s="2" t="s">
        <v>437</v>
      </c>
    </row>
    <row r="84" customFormat="false" ht="15" hidden="false" customHeight="false" outlineLevel="0" collapsed="false">
      <c r="A84" s="2" t="s">
        <v>506</v>
      </c>
      <c r="B84" s="2" t="s">
        <v>507</v>
      </c>
      <c r="C84" s="2" t="s">
        <v>508</v>
      </c>
      <c r="D84" s="2" t="s">
        <v>448</v>
      </c>
      <c r="E84" s="2" t="s">
        <v>316</v>
      </c>
      <c r="F84" s="2" t="s">
        <v>238</v>
      </c>
      <c r="G84" s="2" t="n">
        <v>0</v>
      </c>
      <c r="H84" s="2" t="n">
        <v>2</v>
      </c>
      <c r="I84" s="2" t="n">
        <v>0</v>
      </c>
      <c r="J84" s="35" t="n">
        <v>3</v>
      </c>
      <c r="K84" s="6" t="n">
        <f aca="false">J84*Supuestos!C$5</f>
        <v>1095</v>
      </c>
      <c r="L84" s="6" t="n">
        <f aca="false">IF(OR(U84="Resistors",U84="Capacitors"),ROUNDUP(K84*Supuestos!$B$16,0)+Supuestos!$B$17,ROUNDUP(K84*Supuestos!$B$18,0)+Supuestos!$B$19)</f>
        <v>27</v>
      </c>
      <c r="M84" s="6" t="n">
        <f aca="false">K84+L84</f>
        <v>1122</v>
      </c>
      <c r="N84" s="33" t="n">
        <v>0.0032</v>
      </c>
      <c r="O84" s="22" t="n">
        <v>3146807</v>
      </c>
      <c r="P84" s="6" t="n">
        <f aca="false">SUMIF(BOM_V56!$B:$B,B84,BOM_V56!$M:$M)+SUMIF(BOM_V57!$B:$B,B84,BOM_V57!$M:$M)+SUMIF(BOM_v6!$B:$B,B84,BOM_v6!$M:$M)</f>
        <v>1541</v>
      </c>
      <c r="Q84" s="2" t="str">
        <f aca="false">IF(P84&gt;O84,"SÍ","")</f>
        <v/>
      </c>
      <c r="R84" s="38" t="n">
        <f aca="false">N84*(1+IF(Q84="SÍ",Supuestos!$B$14,0))</f>
        <v>0.0032</v>
      </c>
      <c r="S84" s="10" t="n">
        <f aca="false">M84*R84</f>
        <v>3.5904</v>
      </c>
      <c r="T84" s="2"/>
      <c r="U84" s="2" t="s">
        <v>437</v>
      </c>
    </row>
    <row r="85" customFormat="false" ht="15" hidden="false" customHeight="false" outlineLevel="0" collapsed="false">
      <c r="A85" s="2" t="s">
        <v>522</v>
      </c>
      <c r="B85" s="2" t="s">
        <v>523</v>
      </c>
      <c r="C85" s="2" t="s">
        <v>524</v>
      </c>
      <c r="D85" s="2" t="s">
        <v>448</v>
      </c>
      <c r="E85" s="2" t="s">
        <v>316</v>
      </c>
      <c r="F85" s="2" t="s">
        <v>238</v>
      </c>
      <c r="G85" s="2" t="n">
        <v>0</v>
      </c>
      <c r="H85" s="2" t="n">
        <v>2</v>
      </c>
      <c r="I85" s="2" t="n">
        <v>0</v>
      </c>
      <c r="J85" s="35" t="n">
        <v>4</v>
      </c>
      <c r="K85" s="6" t="n">
        <f aca="false">J85*Supuestos!C$5</f>
        <v>1460</v>
      </c>
      <c r="L85" s="6" t="n">
        <f aca="false">IF(OR(U85="Resistors",U85="Capacitors"),ROUNDUP(K85*Supuestos!$B$16,0)+Supuestos!$B$17,ROUNDUP(K85*Supuestos!$B$18,0)+Supuestos!$B$19)</f>
        <v>35</v>
      </c>
      <c r="M85" s="6" t="n">
        <f aca="false">K85+L85</f>
        <v>1495</v>
      </c>
      <c r="N85" s="33" t="n">
        <v>0.0017</v>
      </c>
      <c r="O85" s="22" t="n">
        <v>1633090</v>
      </c>
      <c r="P85" s="6" t="n">
        <f aca="false">SUMIF(BOM_V56!$B:$B,B85,BOM_V56!$M:$M)+SUMIF(BOM_V57!$B:$B,B85,BOM_V57!$M:$M)+SUMIF(BOM_v6!$B:$B,B85,BOM_v6!$M:$M)</f>
        <v>2051</v>
      </c>
      <c r="Q85" s="2" t="str">
        <f aca="false">IF(P85&gt;O85,"SÍ","")</f>
        <v/>
      </c>
      <c r="R85" s="38" t="n">
        <f aca="false">N85*(1+IF(Q85="SÍ",Supuestos!$B$14,0))</f>
        <v>0.0017</v>
      </c>
      <c r="S85" s="10" t="n">
        <f aca="false">M85*R85</f>
        <v>2.5415</v>
      </c>
      <c r="T85" s="2"/>
      <c r="U85" s="2" t="s">
        <v>437</v>
      </c>
    </row>
    <row r="86" customFormat="false" ht="15" hidden="false" customHeight="false" outlineLevel="0" collapsed="false">
      <c r="A86" s="2" t="s">
        <v>525</v>
      </c>
      <c r="B86" s="2" t="s">
        <v>526</v>
      </c>
      <c r="C86" s="2" t="s">
        <v>527</v>
      </c>
      <c r="D86" s="2" t="s">
        <v>448</v>
      </c>
      <c r="E86" s="2" t="s">
        <v>316</v>
      </c>
      <c r="F86" s="2" t="s">
        <v>238</v>
      </c>
      <c r="G86" s="2" t="n">
        <v>0</v>
      </c>
      <c r="H86" s="2" t="n">
        <v>2</v>
      </c>
      <c r="I86" s="2" t="n">
        <v>0</v>
      </c>
      <c r="J86" s="35" t="n">
        <v>3</v>
      </c>
      <c r="K86" s="6" t="n">
        <f aca="false">J86*Supuestos!C$5</f>
        <v>1095</v>
      </c>
      <c r="L86" s="6" t="n">
        <f aca="false">IF(OR(U86="Resistors",U86="Capacitors"),ROUNDUP(K86*Supuestos!$B$16,0)+Supuestos!$B$17,ROUNDUP(K86*Supuestos!$B$18,0)+Supuestos!$B$19)</f>
        <v>27</v>
      </c>
      <c r="M86" s="6" t="n">
        <f aca="false">K86+L86</f>
        <v>1122</v>
      </c>
      <c r="N86" s="33" t="n">
        <v>0.0022</v>
      </c>
      <c r="O86" s="22" t="n">
        <v>16750308</v>
      </c>
      <c r="P86" s="6" t="n">
        <f aca="false">SUMIF(BOM_V56!$B:$B,B86,BOM_V56!$M:$M)+SUMIF(BOM_V57!$B:$B,B86,BOM_V57!$M:$M)+SUMIF(BOM_v6!$B:$B,B86,BOM_v6!$M:$M)</f>
        <v>1791</v>
      </c>
      <c r="Q86" s="2" t="str">
        <f aca="false">IF(P86&gt;O86,"SÍ","")</f>
        <v/>
      </c>
      <c r="R86" s="38" t="n">
        <f aca="false">N86*(1+IF(Q86="SÍ",Supuestos!$B$14,0))</f>
        <v>0.0022</v>
      </c>
      <c r="S86" s="10" t="n">
        <f aca="false">M86*R86</f>
        <v>2.4684</v>
      </c>
      <c r="T86" s="2"/>
      <c r="U86" s="2" t="s">
        <v>437</v>
      </c>
    </row>
    <row r="87" customFormat="false" ht="15" hidden="false" customHeight="false" outlineLevel="0" collapsed="false">
      <c r="A87" s="2" t="s">
        <v>581</v>
      </c>
      <c r="B87" s="2" t="s">
        <v>619</v>
      </c>
      <c r="C87" s="2" t="s">
        <v>620</v>
      </c>
      <c r="D87" s="2" t="s">
        <v>448</v>
      </c>
      <c r="E87" s="2" t="s">
        <v>316</v>
      </c>
      <c r="F87" s="2" t="s">
        <v>197</v>
      </c>
      <c r="G87" s="2" t="n">
        <v>0</v>
      </c>
      <c r="H87" s="2" t="n">
        <v>2</v>
      </c>
      <c r="I87" s="2" t="n">
        <v>0</v>
      </c>
      <c r="J87" s="35" t="n">
        <v>1</v>
      </c>
      <c r="K87" s="6" t="n">
        <f aca="false">J87*Supuestos!C$5</f>
        <v>365</v>
      </c>
      <c r="L87" s="6" t="n">
        <f aca="false">IF(OR(U87="Resistors",U87="Capacitors"),ROUNDUP(K87*Supuestos!$B$16,0)+Supuestos!$B$17,ROUNDUP(K87*Supuestos!$B$18,0)+Supuestos!$B$19)</f>
        <v>13</v>
      </c>
      <c r="M87" s="6" t="n">
        <f aca="false">K87+L87</f>
        <v>378</v>
      </c>
      <c r="N87" s="33" t="n">
        <v>0.0061</v>
      </c>
      <c r="O87" s="22" t="n">
        <v>160890</v>
      </c>
      <c r="P87" s="6" t="n">
        <f aca="false">SUMIF(BOM_V56!$B:$B,B87,BOM_V56!$M:$M)+SUMIF(BOM_V57!$B:$B,B87,BOM_V57!$M:$M)+SUMIF(BOM_v6!$B:$B,B87,BOM_v6!$M:$M)</f>
        <v>445</v>
      </c>
      <c r="Q87" s="2" t="str">
        <f aca="false">IF(P87&gt;O87,"SÍ","")</f>
        <v/>
      </c>
      <c r="R87" s="38" t="n">
        <f aca="false">N87*(1+IF(Q87="SÍ",Supuestos!$B$14,0))</f>
        <v>0.0061</v>
      </c>
      <c r="S87" s="10" t="n">
        <f aca="false">M87*R87</f>
        <v>2.3058</v>
      </c>
      <c r="T87" s="2"/>
      <c r="U87" s="2" t="s">
        <v>437</v>
      </c>
    </row>
    <row r="88" customFormat="false" ht="15" hidden="false" customHeight="false" outlineLevel="0" collapsed="false">
      <c r="A88" s="2" t="s">
        <v>531</v>
      </c>
      <c r="B88" s="2" t="s">
        <v>532</v>
      </c>
      <c r="C88" s="2" t="s">
        <v>533</v>
      </c>
      <c r="D88" s="2" t="s">
        <v>490</v>
      </c>
      <c r="E88" s="2" t="s">
        <v>316</v>
      </c>
      <c r="F88" s="2" t="s">
        <v>238</v>
      </c>
      <c r="G88" s="2" t="n">
        <v>0</v>
      </c>
      <c r="H88" s="2" t="n">
        <v>2</v>
      </c>
      <c r="I88" s="2" t="n">
        <v>0</v>
      </c>
      <c r="J88" s="35" t="n">
        <v>1</v>
      </c>
      <c r="K88" s="6" t="n">
        <f aca="false">J88*Supuestos!C$5</f>
        <v>365</v>
      </c>
      <c r="L88" s="6" t="n">
        <f aca="false">IF(OR(U88="Resistors",U88="Capacitors"),ROUNDUP(K88*Supuestos!$B$16,0)+Supuestos!$B$17,ROUNDUP(K88*Supuestos!$B$18,0)+Supuestos!$B$19)</f>
        <v>13</v>
      </c>
      <c r="M88" s="6" t="n">
        <f aca="false">K88+L88</f>
        <v>378</v>
      </c>
      <c r="N88" s="33" t="n">
        <v>0.0055</v>
      </c>
      <c r="O88" s="22" t="n">
        <v>364810</v>
      </c>
      <c r="P88" s="6" t="n">
        <f aca="false">SUMIF(BOM_V56!$B:$B,B88,BOM_V56!$M:$M)+SUMIF(BOM_V57!$B:$B,B88,BOM_V57!$M:$M)+SUMIF(BOM_v6!$B:$B,B88,BOM_v6!$M:$M)</f>
        <v>588</v>
      </c>
      <c r="Q88" s="2" t="str">
        <f aca="false">IF(P88&gt;O88,"SÍ","")</f>
        <v/>
      </c>
      <c r="R88" s="38" t="n">
        <f aca="false">N88*(1+IF(Q88="SÍ",Supuestos!$B$14,0))</f>
        <v>0.0055</v>
      </c>
      <c r="S88" s="10" t="n">
        <f aca="false">M88*R88</f>
        <v>2.079</v>
      </c>
      <c r="T88" s="2"/>
      <c r="U88" s="2" t="s">
        <v>239</v>
      </c>
    </row>
    <row r="89" customFormat="false" ht="15" hidden="false" customHeight="false" outlineLevel="0" collapsed="false">
      <c r="A89" s="2" t="s">
        <v>528</v>
      </c>
      <c r="B89" s="2" t="s">
        <v>529</v>
      </c>
      <c r="C89" s="2" t="s">
        <v>530</v>
      </c>
      <c r="D89" s="2" t="s">
        <v>448</v>
      </c>
      <c r="E89" s="2" t="s">
        <v>316</v>
      </c>
      <c r="F89" s="2" t="s">
        <v>238</v>
      </c>
      <c r="G89" s="2" t="n">
        <v>0</v>
      </c>
      <c r="H89" s="2" t="n">
        <v>2</v>
      </c>
      <c r="I89" s="2" t="n">
        <v>0</v>
      </c>
      <c r="J89" s="35" t="n">
        <v>4</v>
      </c>
      <c r="K89" s="6" t="n">
        <f aca="false">J89*Supuestos!C$5</f>
        <v>1460</v>
      </c>
      <c r="L89" s="6" t="n">
        <f aca="false">IF(OR(U89="Resistors",U89="Capacitors"),ROUNDUP(K89*Supuestos!$B$16,0)+Supuestos!$B$17,ROUNDUP(K89*Supuestos!$B$18,0)+Supuestos!$B$19)</f>
        <v>35</v>
      </c>
      <c r="M89" s="6" t="n">
        <f aca="false">K89+L89</f>
        <v>1495</v>
      </c>
      <c r="N89" s="33" t="n">
        <v>0.0012</v>
      </c>
      <c r="O89" s="22" t="n">
        <v>21973466</v>
      </c>
      <c r="P89" s="6" t="n">
        <f aca="false">SUMIF(BOM_V56!$B:$B,B89,BOM_V56!$M:$M)+SUMIF(BOM_V57!$B:$B,B89,BOM_V57!$M:$M)+SUMIF(BOM_v6!$B:$B,B89,BOM_v6!$M:$M)</f>
        <v>2301</v>
      </c>
      <c r="Q89" s="2" t="str">
        <f aca="false">IF(P89&gt;O89,"SÍ","")</f>
        <v/>
      </c>
      <c r="R89" s="38" t="n">
        <f aca="false">N89*(1+IF(Q89="SÍ",Supuestos!$B$14,0))</f>
        <v>0.0012</v>
      </c>
      <c r="S89" s="10" t="n">
        <f aca="false">M89*R89</f>
        <v>1.794</v>
      </c>
      <c r="T89" s="2"/>
      <c r="U89" s="2" t="s">
        <v>437</v>
      </c>
    </row>
    <row r="90" customFormat="false" ht="15" hidden="false" customHeight="false" outlineLevel="0" collapsed="false">
      <c r="A90" s="2" t="s">
        <v>537</v>
      </c>
      <c r="B90" s="2" t="s">
        <v>538</v>
      </c>
      <c r="C90" s="2" t="s">
        <v>539</v>
      </c>
      <c r="D90" s="2" t="s">
        <v>448</v>
      </c>
      <c r="E90" s="2" t="s">
        <v>316</v>
      </c>
      <c r="F90" s="2" t="s">
        <v>238</v>
      </c>
      <c r="G90" s="2" t="n">
        <v>0</v>
      </c>
      <c r="H90" s="2" t="n">
        <v>2</v>
      </c>
      <c r="I90" s="2" t="n">
        <v>0</v>
      </c>
      <c r="J90" s="35" t="n">
        <v>2</v>
      </c>
      <c r="K90" s="6" t="n">
        <f aca="false">J90*Supuestos!C$5</f>
        <v>730</v>
      </c>
      <c r="L90" s="6" t="n">
        <f aca="false">IF(OR(U90="Resistors",U90="Capacitors"),ROUNDUP(K90*Supuestos!$B$16,0)+Supuestos!$B$17,ROUNDUP(K90*Supuestos!$B$18,0)+Supuestos!$B$19)</f>
        <v>20</v>
      </c>
      <c r="M90" s="6" t="n">
        <f aca="false">K90+L90</f>
        <v>750</v>
      </c>
      <c r="N90" s="33" t="n">
        <v>0.002</v>
      </c>
      <c r="O90" s="22" t="n">
        <v>3724658</v>
      </c>
      <c r="P90" s="6" t="n">
        <f aca="false">SUMIF(BOM_V56!$B:$B,B90,BOM_V56!$M:$M)+SUMIF(BOM_V57!$B:$B,B90,BOM_V57!$M:$M)+SUMIF(BOM_v6!$B:$B,B90,BOM_v6!$M:$M)</f>
        <v>1159</v>
      </c>
      <c r="Q90" s="2" t="str">
        <f aca="false">IF(P90&gt;O90,"SÍ","")</f>
        <v/>
      </c>
      <c r="R90" s="38" t="n">
        <f aca="false">N90*(1+IF(Q90="SÍ",Supuestos!$B$14,0))</f>
        <v>0.002</v>
      </c>
      <c r="S90" s="10" t="n">
        <f aca="false">M90*R90</f>
        <v>1.5</v>
      </c>
      <c r="T90" s="2"/>
      <c r="U90" s="2" t="s">
        <v>437</v>
      </c>
    </row>
    <row r="91" customFormat="false" ht="15" hidden="false" customHeight="false" outlineLevel="0" collapsed="false">
      <c r="A91" s="2" t="s">
        <v>540</v>
      </c>
      <c r="B91" s="2" t="s">
        <v>541</v>
      </c>
      <c r="C91" s="2" t="s">
        <v>542</v>
      </c>
      <c r="D91" s="2" t="s">
        <v>448</v>
      </c>
      <c r="E91" s="2" t="s">
        <v>316</v>
      </c>
      <c r="F91" s="2" t="s">
        <v>197</v>
      </c>
      <c r="G91" s="2" t="n">
        <v>0</v>
      </c>
      <c r="H91" s="2" t="n">
        <v>2</v>
      </c>
      <c r="I91" s="2" t="n">
        <v>0</v>
      </c>
      <c r="J91" s="35" t="n">
        <v>2</v>
      </c>
      <c r="K91" s="6" t="n">
        <f aca="false">J91*Supuestos!C$5</f>
        <v>730</v>
      </c>
      <c r="L91" s="6" t="n">
        <f aca="false">IF(OR(U91="Resistors",U91="Capacitors"),ROUNDUP(K91*Supuestos!$B$16,0)+Supuestos!$B$17,ROUNDUP(K91*Supuestos!$B$18,0)+Supuestos!$B$19)</f>
        <v>20</v>
      </c>
      <c r="M91" s="6" t="n">
        <f aca="false">K91+L91</f>
        <v>750</v>
      </c>
      <c r="N91" s="33" t="n">
        <v>0.002</v>
      </c>
      <c r="O91" s="22" t="n">
        <v>128214</v>
      </c>
      <c r="P91" s="6" t="n">
        <f aca="false">SUMIF(BOM_V56!$B:$B,B91,BOM_V56!$M:$M)+SUMIF(BOM_V57!$B:$B,B91,BOM_V57!$M:$M)+SUMIF(BOM_v6!$B:$B,B91,BOM_v6!$M:$M)</f>
        <v>1098</v>
      </c>
      <c r="Q91" s="2" t="str">
        <f aca="false">IF(P91&gt;O91,"SÍ","")</f>
        <v/>
      </c>
      <c r="R91" s="38" t="n">
        <f aca="false">N91*(1+IF(Q91="SÍ",Supuestos!$B$14,0))</f>
        <v>0.002</v>
      </c>
      <c r="S91" s="10" t="n">
        <f aca="false">M91*R91</f>
        <v>1.5</v>
      </c>
      <c r="T91" s="2"/>
      <c r="U91" s="2" t="s">
        <v>437</v>
      </c>
    </row>
    <row r="92" customFormat="false" ht="15" hidden="false" customHeight="false" outlineLevel="0" collapsed="false">
      <c r="A92" s="2" t="s">
        <v>543</v>
      </c>
      <c r="B92" s="2" t="s">
        <v>544</v>
      </c>
      <c r="C92" s="2" t="s">
        <v>545</v>
      </c>
      <c r="D92" s="2" t="s">
        <v>236</v>
      </c>
      <c r="E92" s="2" t="s">
        <v>546</v>
      </c>
      <c r="F92" s="2" t="s">
        <v>238</v>
      </c>
      <c r="G92" s="2" t="n">
        <v>0</v>
      </c>
      <c r="H92" s="2" t="n">
        <v>2</v>
      </c>
      <c r="I92" s="2" t="n">
        <v>0</v>
      </c>
      <c r="J92" s="35" t="n">
        <v>1</v>
      </c>
      <c r="K92" s="6" t="n">
        <f aca="false">J92*Supuestos!C$5</f>
        <v>365</v>
      </c>
      <c r="L92" s="6" t="n">
        <f aca="false">IF(OR(U92="Resistors",U92="Capacitors"),ROUNDUP(K92*Supuestos!$B$16,0)+Supuestos!$B$17,ROUNDUP(K92*Supuestos!$B$18,0)+Supuestos!$B$19)</f>
        <v>13</v>
      </c>
      <c r="M92" s="6" t="n">
        <f aca="false">K92+L92</f>
        <v>378</v>
      </c>
      <c r="N92" s="33" t="n">
        <v>0.0035</v>
      </c>
      <c r="O92" s="22" t="n">
        <v>34860781</v>
      </c>
      <c r="P92" s="6" t="n">
        <f aca="false">SUMIF(BOM_V56!$B:$B,B92,BOM_V56!$M:$M)+SUMIF(BOM_V57!$B:$B,B92,BOM_V57!$M:$M)+SUMIF(BOM_v6!$B:$B,B92,BOM_v6!$M:$M)</f>
        <v>1444</v>
      </c>
      <c r="Q92" s="2" t="str">
        <f aca="false">IF(P92&gt;O92,"SÍ","")</f>
        <v/>
      </c>
      <c r="R92" s="38" t="n">
        <f aca="false">N92*(1+IF(Q92="SÍ",Supuestos!$B$14,0))</f>
        <v>0.0035</v>
      </c>
      <c r="S92" s="10" t="n">
        <f aca="false">M92*R92</f>
        <v>1.323</v>
      </c>
      <c r="T92" s="2"/>
      <c r="U92" s="2" t="s">
        <v>239</v>
      </c>
    </row>
    <row r="93" customFormat="false" ht="15" hidden="false" customHeight="false" outlineLevel="0" collapsed="false">
      <c r="A93" s="2" t="s">
        <v>547</v>
      </c>
      <c r="B93" s="2" t="s">
        <v>548</v>
      </c>
      <c r="C93" s="2" t="s">
        <v>549</v>
      </c>
      <c r="D93" s="2" t="s">
        <v>448</v>
      </c>
      <c r="E93" s="2" t="s">
        <v>316</v>
      </c>
      <c r="F93" s="2" t="s">
        <v>238</v>
      </c>
      <c r="G93" s="2" t="n">
        <v>0</v>
      </c>
      <c r="H93" s="2" t="n">
        <v>2</v>
      </c>
      <c r="I93" s="2" t="n">
        <v>0</v>
      </c>
      <c r="J93" s="35" t="n">
        <v>1</v>
      </c>
      <c r="K93" s="6" t="n">
        <f aca="false">J93*Supuestos!C$5</f>
        <v>365</v>
      </c>
      <c r="L93" s="6" t="n">
        <f aca="false">IF(OR(U93="Resistors",U93="Capacitors"),ROUNDUP(K93*Supuestos!$B$16,0)+Supuestos!$B$17,ROUNDUP(K93*Supuestos!$B$18,0)+Supuestos!$B$19)</f>
        <v>13</v>
      </c>
      <c r="M93" s="6" t="n">
        <f aca="false">K93+L93</f>
        <v>378</v>
      </c>
      <c r="N93" s="33" t="n">
        <v>0.0032</v>
      </c>
      <c r="O93" s="22" t="n">
        <v>893239</v>
      </c>
      <c r="P93" s="6" t="n">
        <f aca="false">SUMIF(BOM_V56!$B:$B,B93,BOM_V56!$M:$M)+SUMIF(BOM_V57!$B:$B,B93,BOM_V57!$M:$M)+SUMIF(BOM_v6!$B:$B,B93,BOM_v6!$M:$M)</f>
        <v>588</v>
      </c>
      <c r="Q93" s="2" t="str">
        <f aca="false">IF(P93&gt;O93,"SÍ","")</f>
        <v/>
      </c>
      <c r="R93" s="38" t="n">
        <f aca="false">N93*(1+IF(Q93="SÍ",Supuestos!$B$14,0))</f>
        <v>0.0032</v>
      </c>
      <c r="S93" s="10" t="n">
        <f aca="false">M93*R93</f>
        <v>1.2096</v>
      </c>
      <c r="T93" s="2"/>
      <c r="U93" s="2" t="s">
        <v>437</v>
      </c>
    </row>
    <row r="94" customFormat="false" ht="15" hidden="false" customHeight="false" outlineLevel="0" collapsed="false">
      <c r="A94" s="2" t="s">
        <v>621</v>
      </c>
      <c r="B94" s="2" t="s">
        <v>622</v>
      </c>
      <c r="C94" s="2" t="s">
        <v>623</v>
      </c>
      <c r="D94" s="2" t="s">
        <v>490</v>
      </c>
      <c r="E94" s="2" t="s">
        <v>546</v>
      </c>
      <c r="F94" s="2" t="s">
        <v>197</v>
      </c>
      <c r="G94" s="2" t="n">
        <v>0</v>
      </c>
      <c r="H94" s="2" t="n">
        <v>2</v>
      </c>
      <c r="I94" s="2" t="n">
        <v>0</v>
      </c>
      <c r="J94" s="35" t="n">
        <v>1</v>
      </c>
      <c r="K94" s="6" t="n">
        <f aca="false">J94*Supuestos!C$5</f>
        <v>365</v>
      </c>
      <c r="L94" s="6" t="n">
        <f aca="false">IF(OR(U94="Resistors",U94="Capacitors"),ROUNDUP(K94*Supuestos!$B$16,0)+Supuestos!$B$17,ROUNDUP(K94*Supuestos!$B$18,0)+Supuestos!$B$19)</f>
        <v>13</v>
      </c>
      <c r="M94" s="6" t="n">
        <f aca="false">K94+L94</f>
        <v>378</v>
      </c>
      <c r="N94" s="33" t="n">
        <v>0.0031</v>
      </c>
      <c r="O94" s="22" t="n">
        <v>132077</v>
      </c>
      <c r="P94" s="6" t="n">
        <f aca="false">SUMIF(BOM_V56!$B:$B,B94,BOM_V56!$M:$M)+SUMIF(BOM_V57!$B:$B,B94,BOM_V57!$M:$M)+SUMIF(BOM_v6!$B:$B,B94,BOM_v6!$M:$M)</f>
        <v>506</v>
      </c>
      <c r="Q94" s="2" t="str">
        <f aca="false">IF(P94&gt;O94,"SÍ","")</f>
        <v/>
      </c>
      <c r="R94" s="38" t="n">
        <f aca="false">N94*(1+IF(Q94="SÍ",Supuestos!$B$14,0))</f>
        <v>0.0031</v>
      </c>
      <c r="S94" s="10" t="n">
        <f aca="false">M94*R94</f>
        <v>1.1718</v>
      </c>
      <c r="T94" s="2"/>
      <c r="U94" s="2" t="s">
        <v>239</v>
      </c>
    </row>
    <row r="95" customFormat="false" ht="15" hidden="false" customHeight="false" outlineLevel="0" collapsed="false">
      <c r="A95" s="2" t="s">
        <v>553</v>
      </c>
      <c r="B95" s="2" t="s">
        <v>554</v>
      </c>
      <c r="C95" s="2" t="s">
        <v>555</v>
      </c>
      <c r="D95" s="2" t="s">
        <v>448</v>
      </c>
      <c r="E95" s="2" t="s">
        <v>316</v>
      </c>
      <c r="F95" s="2" t="s">
        <v>238</v>
      </c>
      <c r="G95" s="2" t="n">
        <v>0</v>
      </c>
      <c r="H95" s="2" t="n">
        <v>2</v>
      </c>
      <c r="I95" s="2" t="n">
        <v>0</v>
      </c>
      <c r="J95" s="35" t="n">
        <v>1</v>
      </c>
      <c r="K95" s="6" t="n">
        <f aca="false">J95*Supuestos!C$5</f>
        <v>365</v>
      </c>
      <c r="L95" s="6" t="n">
        <f aca="false">IF(OR(U95="Resistors",U95="Capacitors"),ROUNDUP(K95*Supuestos!$B$16,0)+Supuestos!$B$17,ROUNDUP(K95*Supuestos!$B$18,0)+Supuestos!$B$19)</f>
        <v>13</v>
      </c>
      <c r="M95" s="6" t="n">
        <f aca="false">K95+L95</f>
        <v>378</v>
      </c>
      <c r="N95" s="33" t="n">
        <v>0.0031</v>
      </c>
      <c r="O95" s="22" t="n">
        <v>640205</v>
      </c>
      <c r="P95" s="6" t="n">
        <f aca="false">SUMIF(BOM_V56!$B:$B,B95,BOM_V56!$M:$M)+SUMIF(BOM_V57!$B:$B,B95,BOM_V57!$M:$M)+SUMIF(BOM_v6!$B:$B,B95,BOM_v6!$M:$M)</f>
        <v>521</v>
      </c>
      <c r="Q95" s="2" t="str">
        <f aca="false">IF(P95&gt;O95,"SÍ","")</f>
        <v/>
      </c>
      <c r="R95" s="38" t="n">
        <f aca="false">N95*(1+IF(Q95="SÍ",Supuestos!$B$14,0))</f>
        <v>0.0031</v>
      </c>
      <c r="S95" s="10" t="n">
        <f aca="false">M95*R95</f>
        <v>1.1718</v>
      </c>
      <c r="T95" s="2"/>
      <c r="U95" s="2" t="s">
        <v>437</v>
      </c>
    </row>
    <row r="96" customFormat="false" ht="15" hidden="false" customHeight="false" outlineLevel="0" collapsed="false">
      <c r="A96" s="2" t="s">
        <v>624</v>
      </c>
      <c r="B96" s="2" t="s">
        <v>625</v>
      </c>
      <c r="C96" s="2" t="s">
        <v>626</v>
      </c>
      <c r="D96" s="2" t="s">
        <v>448</v>
      </c>
      <c r="E96" s="2" t="s">
        <v>316</v>
      </c>
      <c r="F96" s="2" t="s">
        <v>197</v>
      </c>
      <c r="G96" s="2" t="n">
        <v>0</v>
      </c>
      <c r="H96" s="2" t="n">
        <v>2</v>
      </c>
      <c r="I96" s="2" t="n">
        <v>0</v>
      </c>
      <c r="J96" s="35" t="n">
        <v>1</v>
      </c>
      <c r="K96" s="6" t="n">
        <f aca="false">J96*Supuestos!C$5</f>
        <v>365</v>
      </c>
      <c r="L96" s="6" t="n">
        <f aca="false">IF(OR(U96="Resistors",U96="Capacitors"),ROUNDUP(K96*Supuestos!$B$16,0)+Supuestos!$B$17,ROUNDUP(K96*Supuestos!$B$18,0)+Supuestos!$B$19)</f>
        <v>13</v>
      </c>
      <c r="M96" s="6" t="n">
        <f aca="false">K96+L96</f>
        <v>378</v>
      </c>
      <c r="N96" s="33" t="n">
        <v>0.0029</v>
      </c>
      <c r="O96" s="22" t="n">
        <v>62251</v>
      </c>
      <c r="P96" s="6" t="n">
        <f aca="false">SUMIF(BOM_V56!$B:$B,B96,BOM_V56!$M:$M)+SUMIF(BOM_V57!$B:$B,B96,BOM_V57!$M:$M)+SUMIF(BOM_v6!$B:$B,B96,BOM_v6!$M:$M)</f>
        <v>445</v>
      </c>
      <c r="Q96" s="2" t="str">
        <f aca="false">IF(P96&gt;O96,"SÍ","")</f>
        <v/>
      </c>
      <c r="R96" s="38" t="n">
        <f aca="false">N96*(1+IF(Q96="SÍ",Supuestos!$B$14,0))</f>
        <v>0.0029</v>
      </c>
      <c r="S96" s="10" t="n">
        <f aca="false">M96*R96</f>
        <v>1.0962</v>
      </c>
      <c r="T96" s="2"/>
      <c r="U96" s="2" t="s">
        <v>437</v>
      </c>
    </row>
    <row r="97" customFormat="false" ht="15" hidden="false" customHeight="false" outlineLevel="0" collapsed="false">
      <c r="A97" s="2" t="s">
        <v>627</v>
      </c>
      <c r="B97" s="2" t="s">
        <v>628</v>
      </c>
      <c r="C97" s="2" t="s">
        <v>629</v>
      </c>
      <c r="D97" s="2" t="s">
        <v>315</v>
      </c>
      <c r="E97" s="2" t="s">
        <v>316</v>
      </c>
      <c r="F97" s="2" t="s">
        <v>197</v>
      </c>
      <c r="G97" s="2" t="n">
        <v>0</v>
      </c>
      <c r="H97" s="2" t="n">
        <v>2</v>
      </c>
      <c r="I97" s="2" t="n">
        <v>0</v>
      </c>
      <c r="J97" s="35" t="n">
        <v>1</v>
      </c>
      <c r="K97" s="6" t="n">
        <f aca="false">J97*Supuestos!C$5</f>
        <v>365</v>
      </c>
      <c r="L97" s="6" t="n">
        <f aca="false">IF(OR(U97="Resistors",U97="Capacitors"),ROUNDUP(K97*Supuestos!$B$16,0)+Supuestos!$B$17,ROUNDUP(K97*Supuestos!$B$18,0)+Supuestos!$B$19)</f>
        <v>13</v>
      </c>
      <c r="M97" s="6" t="n">
        <f aca="false">K97+L97</f>
        <v>378</v>
      </c>
      <c r="N97" s="33" t="n">
        <v>0.0028</v>
      </c>
      <c r="O97" s="22" t="n">
        <v>7875</v>
      </c>
      <c r="P97" s="6" t="n">
        <f aca="false">SUMIF(BOM_V56!$B:$B,B97,BOM_V56!$M:$M)+SUMIF(BOM_V57!$B:$B,B97,BOM_V57!$M:$M)+SUMIF(BOM_v6!$B:$B,B97,BOM_v6!$M:$M)</f>
        <v>445</v>
      </c>
      <c r="Q97" s="2" t="str">
        <f aca="false">IF(P97&gt;O97,"SÍ","")</f>
        <v/>
      </c>
      <c r="R97" s="38" t="n">
        <f aca="false">N97*(1+IF(Q97="SÍ",Supuestos!$B$14,0))</f>
        <v>0.0028</v>
      </c>
      <c r="S97" s="10" t="n">
        <f aca="false">M97*R97</f>
        <v>1.0584</v>
      </c>
      <c r="T97" s="2"/>
      <c r="U97" s="2" t="s">
        <v>437</v>
      </c>
    </row>
    <row r="98" customFormat="false" ht="15" hidden="false" customHeight="false" outlineLevel="0" collapsed="false">
      <c r="A98" s="2" t="s">
        <v>630</v>
      </c>
      <c r="B98" s="2" t="s">
        <v>631</v>
      </c>
      <c r="C98" s="2" t="s">
        <v>632</v>
      </c>
      <c r="D98" s="2" t="s">
        <v>448</v>
      </c>
      <c r="E98" s="2" t="s">
        <v>316</v>
      </c>
      <c r="F98" s="2" t="s">
        <v>238</v>
      </c>
      <c r="G98" s="2" t="n">
        <v>0</v>
      </c>
      <c r="H98" s="2" t="n">
        <v>2</v>
      </c>
      <c r="I98" s="2" t="n">
        <v>0</v>
      </c>
      <c r="J98" s="35" t="n">
        <v>1</v>
      </c>
      <c r="K98" s="6" t="n">
        <f aca="false">J98*Supuestos!C$5</f>
        <v>365</v>
      </c>
      <c r="L98" s="6" t="n">
        <f aca="false">IF(OR(U98="Resistors",U98="Capacitors"),ROUNDUP(K98*Supuestos!$B$16,0)+Supuestos!$B$17,ROUNDUP(K98*Supuestos!$B$18,0)+Supuestos!$B$19)</f>
        <v>13</v>
      </c>
      <c r="M98" s="6" t="n">
        <f aca="false">K98+L98</f>
        <v>378</v>
      </c>
      <c r="N98" s="33" t="n">
        <v>0.0027</v>
      </c>
      <c r="O98" s="22" t="n">
        <v>473735</v>
      </c>
      <c r="P98" s="6" t="n">
        <f aca="false">SUMIF(BOM_V56!$B:$B,B98,BOM_V56!$M:$M)+SUMIF(BOM_V57!$B:$B,B98,BOM_V57!$M:$M)+SUMIF(BOM_v6!$B:$B,B98,BOM_v6!$M:$M)</f>
        <v>445</v>
      </c>
      <c r="Q98" s="2" t="str">
        <f aca="false">IF(P98&gt;O98,"SÍ","")</f>
        <v/>
      </c>
      <c r="R98" s="38" t="n">
        <f aca="false">N98*(1+IF(Q98="SÍ",Supuestos!$B$14,0))</f>
        <v>0.0027</v>
      </c>
      <c r="S98" s="10" t="n">
        <f aca="false">M98*R98</f>
        <v>1.0206</v>
      </c>
      <c r="T98" s="2"/>
      <c r="U98" s="2" t="s">
        <v>437</v>
      </c>
    </row>
    <row r="99" customFormat="false" ht="15" hidden="false" customHeight="false" outlineLevel="0" collapsed="false">
      <c r="A99" s="2" t="s">
        <v>633</v>
      </c>
      <c r="B99" s="2" t="s">
        <v>634</v>
      </c>
      <c r="C99" s="2" t="s">
        <v>635</v>
      </c>
      <c r="D99" s="2" t="s">
        <v>490</v>
      </c>
      <c r="E99" s="2" t="s">
        <v>546</v>
      </c>
      <c r="F99" s="2" t="s">
        <v>197</v>
      </c>
      <c r="G99" s="2" t="n">
        <v>0</v>
      </c>
      <c r="H99" s="2" t="n">
        <v>2</v>
      </c>
      <c r="I99" s="2" t="n">
        <v>0</v>
      </c>
      <c r="J99" s="35" t="n">
        <v>1</v>
      </c>
      <c r="K99" s="6" t="n">
        <f aca="false">J99*Supuestos!C$5</f>
        <v>365</v>
      </c>
      <c r="L99" s="6" t="n">
        <f aca="false">IF(OR(U99="Resistors",U99="Capacitors"),ROUNDUP(K99*Supuestos!$B$16,0)+Supuestos!$B$17,ROUNDUP(K99*Supuestos!$B$18,0)+Supuestos!$B$19)</f>
        <v>13</v>
      </c>
      <c r="M99" s="6" t="n">
        <f aca="false">K99+L99</f>
        <v>378</v>
      </c>
      <c r="N99" s="33" t="n">
        <v>0.0026</v>
      </c>
      <c r="O99" s="22" t="n">
        <v>117193</v>
      </c>
      <c r="P99" s="6" t="n">
        <f aca="false">SUMIF(BOM_V56!$B:$B,B99,BOM_V56!$M:$M)+SUMIF(BOM_V57!$B:$B,B99,BOM_V57!$M:$M)+SUMIF(BOM_v6!$B:$B,B99,BOM_v6!$M:$M)</f>
        <v>445</v>
      </c>
      <c r="Q99" s="2" t="str">
        <f aca="false">IF(P99&gt;O99,"SÍ","")</f>
        <v/>
      </c>
      <c r="R99" s="38" t="n">
        <f aca="false">N99*(1+IF(Q99="SÍ",Supuestos!$B$14,0))</f>
        <v>0.0026</v>
      </c>
      <c r="S99" s="10" t="n">
        <f aca="false">M99*R99</f>
        <v>0.9828</v>
      </c>
      <c r="T99" s="2"/>
      <c r="U99" s="2" t="s">
        <v>239</v>
      </c>
    </row>
    <row r="100" customFormat="false" ht="15" hidden="false" customHeight="false" outlineLevel="0" collapsed="false">
      <c r="A100" s="2" t="s">
        <v>550</v>
      </c>
      <c r="B100" s="2" t="s">
        <v>551</v>
      </c>
      <c r="C100" s="2" t="s">
        <v>552</v>
      </c>
      <c r="D100" s="2" t="s">
        <v>448</v>
      </c>
      <c r="E100" s="2" t="s">
        <v>316</v>
      </c>
      <c r="F100" s="2" t="s">
        <v>238</v>
      </c>
      <c r="G100" s="2" t="n">
        <v>0</v>
      </c>
      <c r="H100" s="2" t="n">
        <v>2</v>
      </c>
      <c r="I100" s="2" t="n">
        <v>0</v>
      </c>
      <c r="J100" s="35" t="n">
        <v>1</v>
      </c>
      <c r="K100" s="6" t="n">
        <f aca="false">J100*Supuestos!C$5</f>
        <v>365</v>
      </c>
      <c r="L100" s="6" t="n">
        <f aca="false">IF(OR(U100="Resistors",U100="Capacitors"),ROUNDUP(K100*Supuestos!$B$16,0)+Supuestos!$B$17,ROUNDUP(K100*Supuestos!$B$18,0)+Supuestos!$B$19)</f>
        <v>13</v>
      </c>
      <c r="M100" s="6" t="n">
        <f aca="false">K100+L100</f>
        <v>378</v>
      </c>
      <c r="N100" s="33" t="n">
        <v>0.0025</v>
      </c>
      <c r="O100" s="22" t="n">
        <v>6801033</v>
      </c>
      <c r="P100" s="6" t="n">
        <f aca="false">SUMIF(BOM_V56!$B:$B,B100,BOM_V56!$M:$M)+SUMIF(BOM_V57!$B:$B,B100,BOM_V57!$M:$M)+SUMIF(BOM_v6!$B:$B,B100,BOM_v6!$M:$M)</f>
        <v>588</v>
      </c>
      <c r="Q100" s="2" t="str">
        <f aca="false">IF(P100&gt;O100,"SÍ","")</f>
        <v/>
      </c>
      <c r="R100" s="38" t="n">
        <f aca="false">N100*(1+IF(Q100="SÍ",Supuestos!$B$14,0))</f>
        <v>0.0025</v>
      </c>
      <c r="S100" s="10" t="n">
        <f aca="false">M100*R100</f>
        <v>0.945</v>
      </c>
      <c r="T100" s="2"/>
      <c r="U100" s="2" t="s">
        <v>437</v>
      </c>
    </row>
    <row r="101" customFormat="false" ht="15" hidden="false" customHeight="false" outlineLevel="0" collapsed="false">
      <c r="A101" s="2" t="s">
        <v>556</v>
      </c>
      <c r="B101" s="2" t="s">
        <v>557</v>
      </c>
      <c r="C101" s="2" t="s">
        <v>558</v>
      </c>
      <c r="D101" s="2" t="s">
        <v>448</v>
      </c>
      <c r="E101" s="2" t="s">
        <v>316</v>
      </c>
      <c r="F101" s="2" t="s">
        <v>238</v>
      </c>
      <c r="G101" s="2" t="n">
        <v>0</v>
      </c>
      <c r="H101" s="2" t="n">
        <v>2</v>
      </c>
      <c r="I101" s="2" t="n">
        <v>0</v>
      </c>
      <c r="J101" s="35" t="n">
        <v>1</v>
      </c>
      <c r="K101" s="6" t="n">
        <f aca="false">J101*Supuestos!C$5</f>
        <v>365</v>
      </c>
      <c r="L101" s="6" t="n">
        <f aca="false">IF(OR(U101="Resistors",U101="Capacitors"),ROUNDUP(K101*Supuestos!$B$16,0)+Supuestos!$B$17,ROUNDUP(K101*Supuestos!$B$18,0)+Supuestos!$B$19)</f>
        <v>13</v>
      </c>
      <c r="M101" s="6" t="n">
        <f aca="false">K101+L101</f>
        <v>378</v>
      </c>
      <c r="N101" s="33" t="n">
        <v>0.0023</v>
      </c>
      <c r="O101" s="22" t="n">
        <v>10422555</v>
      </c>
      <c r="P101" s="6" t="n">
        <f aca="false">SUMIF(BOM_V56!$B:$B,B101,BOM_V56!$M:$M)+SUMIF(BOM_V57!$B:$B,B101,BOM_V57!$M:$M)+SUMIF(BOM_v6!$B:$B,B101,BOM_v6!$M:$M)</f>
        <v>588</v>
      </c>
      <c r="Q101" s="2" t="str">
        <f aca="false">IF(P101&gt;O101,"SÍ","")</f>
        <v/>
      </c>
      <c r="R101" s="38" t="n">
        <f aca="false">N101*(1+IF(Q101="SÍ",Supuestos!$B$14,0))</f>
        <v>0.0023</v>
      </c>
      <c r="S101" s="10" t="n">
        <f aca="false">M101*R101</f>
        <v>0.8694</v>
      </c>
      <c r="T101" s="2"/>
      <c r="U101" s="2" t="s">
        <v>437</v>
      </c>
    </row>
    <row r="102" customFormat="false" ht="15" hidden="false" customHeight="false" outlineLevel="0" collapsed="false">
      <c r="A102" s="2" t="s">
        <v>559</v>
      </c>
      <c r="B102" s="2" t="s">
        <v>560</v>
      </c>
      <c r="C102" s="2" t="s">
        <v>561</v>
      </c>
      <c r="D102" s="2" t="s">
        <v>448</v>
      </c>
      <c r="E102" s="2" t="s">
        <v>316</v>
      </c>
      <c r="F102" s="2" t="s">
        <v>238</v>
      </c>
      <c r="G102" s="2" t="n">
        <v>0</v>
      </c>
      <c r="H102" s="2" t="n">
        <v>2</v>
      </c>
      <c r="I102" s="2" t="n">
        <v>0</v>
      </c>
      <c r="J102" s="35" t="n">
        <v>1</v>
      </c>
      <c r="K102" s="6" t="n">
        <f aca="false">J102*Supuestos!C$5</f>
        <v>365</v>
      </c>
      <c r="L102" s="6" t="n">
        <f aca="false">IF(OR(U102="Resistors",U102="Capacitors"),ROUNDUP(K102*Supuestos!$B$16,0)+Supuestos!$B$17,ROUNDUP(K102*Supuestos!$B$18,0)+Supuestos!$B$19)</f>
        <v>13</v>
      </c>
      <c r="M102" s="6" t="n">
        <f aca="false">K102+L102</f>
        <v>378</v>
      </c>
      <c r="N102" s="33" t="n">
        <v>0.0022</v>
      </c>
      <c r="O102" s="22" t="n">
        <v>5508378</v>
      </c>
      <c r="P102" s="6" t="n">
        <f aca="false">SUMIF(BOM_V56!$B:$B,B102,BOM_V56!$M:$M)+SUMIF(BOM_V57!$B:$B,B102,BOM_V57!$M:$M)+SUMIF(BOM_v6!$B:$B,B102,BOM_v6!$M:$M)</f>
        <v>521</v>
      </c>
      <c r="Q102" s="2" t="str">
        <f aca="false">IF(P102&gt;O102,"SÍ","")</f>
        <v/>
      </c>
      <c r="R102" s="38" t="n">
        <f aca="false">N102*(1+IF(Q102="SÍ",Supuestos!$B$14,0))</f>
        <v>0.0022</v>
      </c>
      <c r="S102" s="10" t="n">
        <f aca="false">M102*R102</f>
        <v>0.8316</v>
      </c>
      <c r="T102" s="2"/>
      <c r="U102" s="2" t="s">
        <v>437</v>
      </c>
    </row>
    <row r="103" customFormat="false" ht="15" hidden="false" customHeight="false" outlineLevel="0" collapsed="false">
      <c r="A103" s="2" t="s">
        <v>565</v>
      </c>
      <c r="B103" s="2" t="s">
        <v>566</v>
      </c>
      <c r="C103" s="2" t="s">
        <v>567</v>
      </c>
      <c r="D103" s="2" t="s">
        <v>448</v>
      </c>
      <c r="E103" s="2" t="s">
        <v>316</v>
      </c>
      <c r="F103" s="2" t="s">
        <v>238</v>
      </c>
      <c r="G103" s="2" t="n">
        <v>0</v>
      </c>
      <c r="H103" s="2" t="n">
        <v>2</v>
      </c>
      <c r="I103" s="2" t="n">
        <v>0</v>
      </c>
      <c r="J103" s="35" t="n">
        <v>1</v>
      </c>
      <c r="K103" s="6" t="n">
        <f aca="false">J103*Supuestos!C$5</f>
        <v>365</v>
      </c>
      <c r="L103" s="6" t="n">
        <f aca="false">IF(OR(U103="Resistors",U103="Capacitors"),ROUNDUP(K103*Supuestos!$B$16,0)+Supuestos!$B$17,ROUNDUP(K103*Supuestos!$B$18,0)+Supuestos!$B$19)</f>
        <v>13</v>
      </c>
      <c r="M103" s="6" t="n">
        <f aca="false">K103+L103</f>
        <v>378</v>
      </c>
      <c r="N103" s="33" t="n">
        <v>0.0021</v>
      </c>
      <c r="O103" s="22" t="n">
        <v>2355421</v>
      </c>
      <c r="P103" s="6" t="n">
        <f aca="false">SUMIF(BOM_V56!$B:$B,B103,BOM_V56!$M:$M)+SUMIF(BOM_V57!$B:$B,B103,BOM_V57!$M:$M)+SUMIF(BOM_v6!$B:$B,B103,BOM_v6!$M:$M)</f>
        <v>588</v>
      </c>
      <c r="Q103" s="2" t="str">
        <f aca="false">IF(P103&gt;O103,"SÍ","")</f>
        <v/>
      </c>
      <c r="R103" s="38" t="n">
        <f aca="false">N103*(1+IF(Q103="SÍ",Supuestos!$B$14,0))</f>
        <v>0.0021</v>
      </c>
      <c r="S103" s="10" t="n">
        <f aca="false">M103*R103</f>
        <v>0.7938</v>
      </c>
      <c r="T103" s="2"/>
      <c r="U103" s="2" t="s">
        <v>437</v>
      </c>
    </row>
    <row r="104" customFormat="false" ht="15" hidden="false" customHeight="false" outlineLevel="0" collapsed="false">
      <c r="A104" s="2" t="s">
        <v>636</v>
      </c>
      <c r="B104" s="2" t="s">
        <v>535</v>
      </c>
      <c r="C104" s="2" t="s">
        <v>536</v>
      </c>
      <c r="D104" s="2" t="s">
        <v>448</v>
      </c>
      <c r="E104" s="2" t="s">
        <v>316</v>
      </c>
      <c r="F104" s="2" t="s">
        <v>197</v>
      </c>
      <c r="G104" s="2" t="n">
        <v>0</v>
      </c>
      <c r="H104" s="2" t="n">
        <v>2</v>
      </c>
      <c r="I104" s="2" t="n">
        <v>0</v>
      </c>
      <c r="J104" s="35" t="n">
        <v>1</v>
      </c>
      <c r="K104" s="6" t="n">
        <f aca="false">J104*Supuestos!C$5</f>
        <v>365</v>
      </c>
      <c r="L104" s="6" t="n">
        <f aca="false">IF(OR(U104="Resistors",U104="Capacitors"),ROUNDUP(K104*Supuestos!$B$16,0)+Supuestos!$B$17,ROUNDUP(K104*Supuestos!$B$18,0)+Supuestos!$B$19)</f>
        <v>13</v>
      </c>
      <c r="M104" s="6" t="n">
        <f aca="false">K104+L104</f>
        <v>378</v>
      </c>
      <c r="N104" s="33" t="n">
        <v>0.0021</v>
      </c>
      <c r="O104" s="22" t="n">
        <v>179285</v>
      </c>
      <c r="P104" s="6" t="n">
        <f aca="false">SUMIF(BOM_V56!$B:$B,B104,BOM_V56!$M:$M)+SUMIF(BOM_V57!$B:$B,B104,BOM_V57!$M:$M)+SUMIF(BOM_v6!$B:$B,B104,BOM_v6!$M:$M)</f>
        <v>659</v>
      </c>
      <c r="Q104" s="2" t="str">
        <f aca="false">IF(P104&gt;O104,"SÍ","")</f>
        <v/>
      </c>
      <c r="R104" s="38" t="n">
        <f aca="false">N104*(1+IF(Q104="SÍ",Supuestos!$B$14,0))</f>
        <v>0.0021</v>
      </c>
      <c r="S104" s="10" t="n">
        <f aca="false">M104*R104</f>
        <v>0.7938</v>
      </c>
      <c r="T104" s="2"/>
      <c r="U104" s="2" t="s">
        <v>437</v>
      </c>
    </row>
    <row r="105" customFormat="false" ht="15" hidden="false" customHeight="false" outlineLevel="0" collapsed="false">
      <c r="A105" s="2" t="s">
        <v>568</v>
      </c>
      <c r="B105" s="2" t="s">
        <v>569</v>
      </c>
      <c r="C105" s="2" t="s">
        <v>570</v>
      </c>
      <c r="D105" s="2" t="s">
        <v>448</v>
      </c>
      <c r="E105" s="2" t="s">
        <v>316</v>
      </c>
      <c r="F105" s="2" t="s">
        <v>197</v>
      </c>
      <c r="G105" s="2" t="n">
        <v>0</v>
      </c>
      <c r="H105" s="2" t="n">
        <v>2</v>
      </c>
      <c r="I105" s="2" t="n">
        <v>0</v>
      </c>
      <c r="J105" s="35" t="n">
        <v>1</v>
      </c>
      <c r="K105" s="6" t="n">
        <f aca="false">J105*Supuestos!C$5</f>
        <v>365</v>
      </c>
      <c r="L105" s="6" t="n">
        <f aca="false">IF(OR(U105="Resistors",U105="Capacitors"),ROUNDUP(K105*Supuestos!$B$16,0)+Supuestos!$B$17,ROUNDUP(K105*Supuestos!$B$18,0)+Supuestos!$B$19)</f>
        <v>13</v>
      </c>
      <c r="M105" s="6" t="n">
        <f aca="false">K105+L105</f>
        <v>378</v>
      </c>
      <c r="N105" s="33" t="n">
        <v>0.002</v>
      </c>
      <c r="O105" s="22" t="n">
        <v>9410</v>
      </c>
      <c r="P105" s="6" t="n">
        <f aca="false">SUMIF(BOM_V56!$B:$B,B105,BOM_V56!$M:$M)+SUMIF(BOM_V57!$B:$B,B105,BOM_V57!$M:$M)+SUMIF(BOM_v6!$B:$B,B105,BOM_v6!$M:$M)</f>
        <v>588</v>
      </c>
      <c r="Q105" s="2" t="str">
        <f aca="false">IF(P105&gt;O105,"SÍ","")</f>
        <v/>
      </c>
      <c r="R105" s="38" t="n">
        <f aca="false">N105*(1+IF(Q105="SÍ",Supuestos!$B$14,0))</f>
        <v>0.002</v>
      </c>
      <c r="S105" s="10" t="n">
        <f aca="false">M105*R105</f>
        <v>0.756</v>
      </c>
      <c r="T105" s="2"/>
      <c r="U105" s="2" t="s">
        <v>437</v>
      </c>
    </row>
    <row r="106" customFormat="false" ht="15" hidden="false" customHeight="false" outlineLevel="0" collapsed="false">
      <c r="A106" s="2" t="s">
        <v>571</v>
      </c>
      <c r="B106" s="2" t="s">
        <v>572</v>
      </c>
      <c r="C106" s="2" t="s">
        <v>573</v>
      </c>
      <c r="D106" s="2" t="s">
        <v>448</v>
      </c>
      <c r="E106" s="2" t="s">
        <v>316</v>
      </c>
      <c r="F106" s="2" t="s">
        <v>197</v>
      </c>
      <c r="G106" s="2" t="n">
        <v>0</v>
      </c>
      <c r="H106" s="2" t="n">
        <v>2</v>
      </c>
      <c r="I106" s="2" t="n">
        <v>0</v>
      </c>
      <c r="J106" s="35" t="n">
        <v>1</v>
      </c>
      <c r="K106" s="6" t="n">
        <f aca="false">J106*Supuestos!C$5</f>
        <v>365</v>
      </c>
      <c r="L106" s="6" t="n">
        <f aca="false">IF(OR(U106="Resistors",U106="Capacitors"),ROUNDUP(K106*Supuestos!$B$16,0)+Supuestos!$B$17,ROUNDUP(K106*Supuestos!$B$18,0)+Supuestos!$B$19)</f>
        <v>13</v>
      </c>
      <c r="M106" s="6" t="n">
        <f aca="false">K106+L106</f>
        <v>378</v>
      </c>
      <c r="N106" s="33" t="n">
        <v>0.0018</v>
      </c>
      <c r="O106" s="22" t="n">
        <v>273494</v>
      </c>
      <c r="P106" s="6" t="n">
        <f aca="false">SUMIF(BOM_V56!$B:$B,B106,BOM_V56!$M:$M)+SUMIF(BOM_V57!$B:$B,B106,BOM_V57!$M:$M)+SUMIF(BOM_v6!$B:$B,B106,BOM_v6!$M:$M)</f>
        <v>588</v>
      </c>
      <c r="Q106" s="2" t="str">
        <f aca="false">IF(P106&gt;O106,"SÍ","")</f>
        <v/>
      </c>
      <c r="R106" s="38" t="n">
        <f aca="false">N106*(1+IF(Q106="SÍ",Supuestos!$B$14,0))</f>
        <v>0.0018</v>
      </c>
      <c r="S106" s="10" t="n">
        <f aca="false">M106*R106</f>
        <v>0.6804</v>
      </c>
      <c r="T106" s="2"/>
      <c r="U106" s="2" t="s">
        <v>437</v>
      </c>
    </row>
    <row r="107" customFormat="false" ht="15" hidden="false" customHeight="false" outlineLevel="0" collapsed="false">
      <c r="A107" s="2" t="s">
        <v>574</v>
      </c>
      <c r="B107" s="2" t="s">
        <v>575</v>
      </c>
      <c r="C107" s="2" t="s">
        <v>576</v>
      </c>
      <c r="D107" s="2" t="s">
        <v>577</v>
      </c>
      <c r="E107" s="2" t="s">
        <v>316</v>
      </c>
      <c r="F107" s="2" t="s">
        <v>197</v>
      </c>
      <c r="G107" s="2" t="n">
        <v>0</v>
      </c>
      <c r="H107" s="2" t="n">
        <v>2</v>
      </c>
      <c r="I107" s="2" t="n">
        <v>0</v>
      </c>
      <c r="J107" s="35" t="n">
        <v>1</v>
      </c>
      <c r="K107" s="6" t="n">
        <f aca="false">J107*Supuestos!C$5</f>
        <v>365</v>
      </c>
      <c r="L107" s="6" t="n">
        <f aca="false">IF(OR(U107="Resistors",U107="Capacitors"),ROUNDUP(K107*Supuestos!$B$16,0)+Supuestos!$B$17,ROUNDUP(K107*Supuestos!$B$18,0)+Supuestos!$B$19)</f>
        <v>13</v>
      </c>
      <c r="M107" s="6" t="n">
        <f aca="false">K107+L107</f>
        <v>378</v>
      </c>
      <c r="N107" s="33" t="n">
        <v>0.0015</v>
      </c>
      <c r="O107" s="22" t="n">
        <v>1</v>
      </c>
      <c r="P107" s="6" t="n">
        <f aca="false">SUMIF(BOM_V56!$B:$B,B107,BOM_V56!$M:$M)+SUMIF(BOM_V57!$B:$B,B107,BOM_V57!$M:$M)+SUMIF(BOM_v6!$B:$B,B107,BOM_v6!$M:$M)</f>
        <v>588</v>
      </c>
      <c r="Q107" s="2" t="str">
        <f aca="false">IF(P107&gt;O107,"SÍ","")</f>
        <v>SÍ</v>
      </c>
      <c r="R107" s="38" t="n">
        <f aca="false">N107*(1+IF(Q107="SÍ",Supuestos!$B$14,0))</f>
        <v>0.001725</v>
      </c>
      <c r="S107" s="10" t="n">
        <f aca="false">M107*R107</f>
        <v>0.65205</v>
      </c>
      <c r="T107" s="2"/>
      <c r="U107" s="2" t="s">
        <v>437</v>
      </c>
    </row>
    <row r="108" customFormat="false" ht="15" hidden="false" customHeight="false" outlineLevel="0" collapsed="false">
      <c r="A108" s="2" t="s">
        <v>578</v>
      </c>
      <c r="B108" s="2" t="s">
        <v>579</v>
      </c>
      <c r="C108" s="2" t="s">
        <v>580</v>
      </c>
      <c r="D108" s="2" t="s">
        <v>448</v>
      </c>
      <c r="E108" s="2" t="s">
        <v>316</v>
      </c>
      <c r="F108" s="2" t="s">
        <v>238</v>
      </c>
      <c r="G108" s="2" t="n">
        <v>0</v>
      </c>
      <c r="H108" s="2" t="n">
        <v>2</v>
      </c>
      <c r="I108" s="2" t="n">
        <v>0</v>
      </c>
      <c r="J108" s="35" t="n">
        <v>1</v>
      </c>
      <c r="K108" s="6" t="n">
        <f aca="false">J108*Supuestos!C$5</f>
        <v>365</v>
      </c>
      <c r="L108" s="6" t="n">
        <f aca="false">IF(OR(U108="Resistors",U108="Capacitors"),ROUNDUP(K108*Supuestos!$B$16,0)+Supuestos!$B$17,ROUNDUP(K108*Supuestos!$B$18,0)+Supuestos!$B$19)</f>
        <v>13</v>
      </c>
      <c r="M108" s="6" t="n">
        <f aca="false">K108+L108</f>
        <v>378</v>
      </c>
      <c r="N108" s="33" t="n">
        <v>0.0015</v>
      </c>
      <c r="O108" s="22" t="n">
        <v>1146145</v>
      </c>
      <c r="P108" s="6" t="n">
        <f aca="false">SUMIF(BOM_V56!$B:$B,B108,BOM_V56!$M:$M)+SUMIF(BOM_V57!$B:$B,B108,BOM_V57!$M:$M)+SUMIF(BOM_v6!$B:$B,B108,BOM_v6!$M:$M)</f>
        <v>588</v>
      </c>
      <c r="Q108" s="2" t="str">
        <f aca="false">IF(P108&gt;O108,"SÍ","")</f>
        <v/>
      </c>
      <c r="R108" s="38" t="n">
        <f aca="false">N108*(1+IF(Q108="SÍ",Supuestos!$B$14,0))</f>
        <v>0.0015</v>
      </c>
      <c r="S108" s="10" t="n">
        <f aca="false">M108*R108</f>
        <v>0.567</v>
      </c>
      <c r="T108" s="2"/>
      <c r="U108" s="2" t="s">
        <v>437</v>
      </c>
    </row>
    <row r="109" customFormat="false" ht="15" hidden="false" customHeight="false" outlineLevel="0" collapsed="false">
      <c r="A109" s="2" t="s">
        <v>584</v>
      </c>
      <c r="B109" s="2" t="s">
        <v>585</v>
      </c>
      <c r="C109" s="2" t="s">
        <v>586</v>
      </c>
      <c r="D109" s="2" t="s">
        <v>587</v>
      </c>
      <c r="E109" s="2" t="s">
        <v>316</v>
      </c>
      <c r="F109" s="2" t="s">
        <v>197</v>
      </c>
      <c r="G109" s="2" t="n">
        <v>0</v>
      </c>
      <c r="H109" s="2" t="n">
        <v>2</v>
      </c>
      <c r="I109" s="2" t="n">
        <v>0</v>
      </c>
      <c r="J109" s="35" t="n">
        <v>1</v>
      </c>
      <c r="K109" s="6" t="n">
        <f aca="false">J109*Supuestos!C$5</f>
        <v>365</v>
      </c>
      <c r="L109" s="6" t="n">
        <f aca="false">IF(OR(U109="Resistors",U109="Capacitors"),ROUNDUP(K109*Supuestos!$B$16,0)+Supuestos!$B$17,ROUNDUP(K109*Supuestos!$B$18,0)+Supuestos!$B$19)</f>
        <v>13</v>
      </c>
      <c r="M109" s="6" t="n">
        <f aca="false">K109+L109</f>
        <v>378</v>
      </c>
      <c r="N109" s="33" t="n">
        <v>0.0014</v>
      </c>
      <c r="O109" s="22" t="n">
        <v>1630</v>
      </c>
      <c r="P109" s="6" t="n">
        <f aca="false">SUMIF(BOM_V56!$B:$B,B109,BOM_V56!$M:$M)+SUMIF(BOM_V57!$B:$B,B109,BOM_V57!$M:$M)+SUMIF(BOM_v6!$B:$B,B109,BOM_v6!$M:$M)</f>
        <v>588</v>
      </c>
      <c r="Q109" s="2" t="str">
        <f aca="false">IF(P109&gt;O109,"SÍ","")</f>
        <v/>
      </c>
      <c r="R109" s="38" t="n">
        <f aca="false">N109*(1+IF(Q109="SÍ",Supuestos!$B$14,0))</f>
        <v>0.0014</v>
      </c>
      <c r="S109" s="10" t="n">
        <f aca="false">M109*R109</f>
        <v>0.5292</v>
      </c>
      <c r="T109" s="2"/>
      <c r="U109" s="2" t="s">
        <v>437</v>
      </c>
    </row>
    <row r="110" customFormat="false" ht="15" hidden="false" customHeight="false" outlineLevel="0" collapsed="false">
      <c r="A110" s="12" t="s">
        <v>6</v>
      </c>
      <c r="B110" s="14"/>
      <c r="C110" s="14"/>
      <c r="D110" s="14"/>
      <c r="E110" s="14"/>
      <c r="F110" s="14"/>
      <c r="G110" s="14"/>
      <c r="H110" s="14"/>
      <c r="I110" s="14"/>
      <c r="J110" s="40" t="n">
        <f aca="false">SUM(J5:J109)</f>
        <v>229</v>
      </c>
      <c r="K110" s="14"/>
      <c r="L110" s="14"/>
      <c r="M110" s="14"/>
      <c r="N110" s="14"/>
      <c r="O110" s="14"/>
      <c r="P110" s="14"/>
      <c r="Q110" s="14"/>
      <c r="R110" s="14"/>
      <c r="S110" s="13" t="n">
        <f aca="false">SUM(S5:S109)</f>
        <v>16096.10661</v>
      </c>
      <c r="T110" s="14"/>
      <c r="U110" s="14"/>
    </row>
  </sheetData>
  <autoFilter ref="A4:U109"/>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drawing r:id="rId1"/>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U131"/>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2" ySplit="4" topLeftCell="C5" activePane="bottomRight" state="frozen"/>
      <selection pane="topLeft" activeCell="A1" activeCellId="0" sqref="A1"/>
      <selection pane="topRight" activeCell="C1" activeCellId="0" sqref="C1"/>
      <selection pane="bottomLeft" activeCell="A5" activeCellId="0" sqref="A5"/>
      <selection pane="bottomRight" activeCell="A1" activeCellId="0" sqref="A1"/>
    </sheetView>
  </sheetViews>
  <sheetFormatPr defaultColWidth="8.6796875" defaultRowHeight="15" zeroHeight="false" outlineLevelRow="0" outlineLevelCol="0"/>
  <cols>
    <col collapsed="false" customWidth="true" hidden="false" outlineLevel="0" max="1" min="1" style="0" width="30"/>
    <col collapsed="false" customWidth="true" hidden="false" outlineLevel="0" max="2" min="2" style="0" width="11"/>
    <col collapsed="false" customWidth="true" hidden="false" outlineLevel="0" max="3" min="3" style="0" width="24"/>
    <col collapsed="false" customWidth="true" hidden="false" outlineLevel="0" max="4" min="4" style="0" width="18"/>
    <col collapsed="false" customWidth="true" hidden="false" outlineLevel="0" max="5" min="5" style="0" width="14"/>
    <col collapsed="false" customWidth="true" hidden="false" outlineLevel="0" max="6" min="6" style="0" width="10"/>
    <col collapsed="false" customWidth="true" hidden="false" outlineLevel="0" max="7" min="7" style="0" width="6"/>
    <col collapsed="false" customWidth="true" hidden="false" outlineLevel="0" max="9" min="8" style="0" width="8"/>
    <col collapsed="false" customWidth="true" hidden="false" outlineLevel="0" max="10" min="10" style="0" width="9"/>
    <col collapsed="false" customWidth="true" hidden="false" outlineLevel="0" max="11" min="11" style="0" width="10"/>
    <col collapsed="false" customWidth="true" hidden="false" outlineLevel="0" max="12" min="12" style="0" width="8"/>
    <col collapsed="false" customWidth="true" hidden="false" outlineLevel="0" max="13" min="13" style="0" width="11"/>
    <col collapsed="false" customWidth="true" hidden="false" outlineLevel="0" max="15" min="14" style="0" width="12"/>
    <col collapsed="false" customWidth="true" hidden="false" outlineLevel="0" max="16" min="16" style="0" width="11"/>
    <col collapsed="false" customWidth="true" hidden="false" outlineLevel="0" max="17" min="17" style="0" width="8"/>
    <col collapsed="false" customWidth="true" hidden="false" outlineLevel="0" max="19" min="18" style="0" width="12"/>
    <col collapsed="false" customWidth="true" hidden="false" outlineLevel="0" max="20" min="20" style="0" width="9"/>
    <col collapsed="false" customWidth="true" hidden="false" outlineLevel="0" max="21" min="21" style="0" width="14"/>
  </cols>
  <sheetData>
    <row r="1" customFormat="false" ht="17.35" hidden="false" customHeight="false" outlineLevel="0" collapsed="false">
      <c r="A1" s="1" t="s">
        <v>637</v>
      </c>
      <c r="B1" s="2"/>
      <c r="C1" s="2"/>
      <c r="D1" s="2"/>
      <c r="E1" s="2"/>
      <c r="F1" s="2"/>
      <c r="G1" s="2"/>
      <c r="H1" s="2"/>
      <c r="I1" s="2"/>
      <c r="J1" s="2"/>
      <c r="K1" s="2"/>
      <c r="L1" s="2"/>
      <c r="M1" s="2"/>
      <c r="N1" s="2"/>
      <c r="O1" s="2"/>
      <c r="P1" s="2"/>
      <c r="Q1" s="2"/>
      <c r="R1" s="2"/>
      <c r="S1" s="2"/>
      <c r="T1" s="2"/>
      <c r="U1" s="2"/>
    </row>
    <row r="2" customFormat="false" ht="15" hidden="false" customHeight="false" outlineLevel="0" collapsed="false">
      <c r="A2" s="3" t="s">
        <v>638</v>
      </c>
      <c r="B2" s="2"/>
      <c r="C2" s="2"/>
      <c r="D2" s="2"/>
      <c r="E2" s="2"/>
      <c r="F2" s="2"/>
      <c r="G2" s="2"/>
      <c r="H2" s="2"/>
      <c r="I2" s="2"/>
      <c r="J2" s="2"/>
      <c r="K2" s="2"/>
      <c r="L2" s="2"/>
      <c r="M2" s="2"/>
      <c r="N2" s="2"/>
      <c r="O2" s="2"/>
      <c r="P2" s="2"/>
      <c r="Q2" s="2"/>
      <c r="R2" s="2"/>
      <c r="S2" s="2"/>
      <c r="T2" s="2"/>
      <c r="U2" s="2"/>
    </row>
    <row r="3" customFormat="false" ht="15" hidden="false" customHeight="false" outlineLevel="0" collapsed="false">
      <c r="A3" s="2"/>
      <c r="B3" s="2"/>
      <c r="C3" s="2"/>
      <c r="D3" s="2"/>
      <c r="E3" s="2"/>
      <c r="F3" s="2"/>
      <c r="G3" s="2"/>
      <c r="H3" s="2"/>
      <c r="I3" s="2"/>
      <c r="J3" s="2"/>
      <c r="K3" s="2"/>
      <c r="L3" s="2"/>
      <c r="M3" s="2"/>
      <c r="N3" s="2"/>
      <c r="O3" s="2"/>
      <c r="P3" s="2"/>
      <c r="Q3" s="2"/>
      <c r="R3" s="2"/>
      <c r="S3" s="2"/>
      <c r="T3" s="2"/>
      <c r="U3" s="2"/>
    </row>
    <row r="4" customFormat="false" ht="30" hidden="false" customHeight="true" outlineLevel="0" collapsed="false">
      <c r="A4" s="4" t="s">
        <v>171</v>
      </c>
      <c r="B4" s="4" t="s">
        <v>172</v>
      </c>
      <c r="C4" s="4" t="s">
        <v>173</v>
      </c>
      <c r="D4" s="4" t="s">
        <v>174</v>
      </c>
      <c r="E4" s="4" t="s">
        <v>175</v>
      </c>
      <c r="F4" s="4" t="s">
        <v>176</v>
      </c>
      <c r="G4" s="4" t="s">
        <v>177</v>
      </c>
      <c r="H4" s="4" t="s">
        <v>178</v>
      </c>
      <c r="I4" s="4" t="s">
        <v>179</v>
      </c>
      <c r="J4" s="4" t="s">
        <v>180</v>
      </c>
      <c r="K4" s="4" t="s">
        <v>181</v>
      </c>
      <c r="L4" s="4" t="s">
        <v>182</v>
      </c>
      <c r="M4" s="4" t="s">
        <v>183</v>
      </c>
      <c r="N4" s="4" t="s">
        <v>184</v>
      </c>
      <c r="O4" s="4" t="s">
        <v>185</v>
      </c>
      <c r="P4" s="4" t="s">
        <v>186</v>
      </c>
      <c r="Q4" s="4" t="s">
        <v>187</v>
      </c>
      <c r="R4" s="4" t="s">
        <v>188</v>
      </c>
      <c r="S4" s="4" t="s">
        <v>189</v>
      </c>
      <c r="T4" s="4" t="s">
        <v>190</v>
      </c>
      <c r="U4" s="4" t="s">
        <v>191</v>
      </c>
    </row>
    <row r="5" customFormat="false" ht="15" hidden="false" customHeight="false" outlineLevel="0" collapsed="false">
      <c r="A5" s="2" t="s">
        <v>639</v>
      </c>
      <c r="B5" s="2" t="s">
        <v>640</v>
      </c>
      <c r="C5" s="2" t="s">
        <v>641</v>
      </c>
      <c r="D5" s="2" t="s">
        <v>642</v>
      </c>
      <c r="E5" s="2" t="s">
        <v>643</v>
      </c>
      <c r="F5" s="2" t="s">
        <v>197</v>
      </c>
      <c r="G5" s="2" t="n">
        <v>0</v>
      </c>
      <c r="H5" s="2" t="n">
        <v>102</v>
      </c>
      <c r="I5" s="2" t="n">
        <v>0</v>
      </c>
      <c r="J5" s="35" t="n">
        <v>1</v>
      </c>
      <c r="K5" s="6" t="n">
        <f aca="false">J5*Supuestos!D$5</f>
        <v>60</v>
      </c>
      <c r="L5" s="6" t="n">
        <f aca="false">IF(OR(U5="Resistors",U5="Capacitors"),ROUNDUP(K5*Supuestos!$B$16,0)+Supuestos!$B$17,ROUNDUP(K5*Supuestos!$B$18,0)+Supuestos!$B$19)</f>
        <v>2</v>
      </c>
      <c r="M5" s="6" t="n">
        <f aca="false">K5+L5</f>
        <v>62</v>
      </c>
      <c r="N5" s="33" t="n">
        <v>76.2981</v>
      </c>
      <c r="O5" s="22" t="n">
        <v>1014</v>
      </c>
      <c r="P5" s="6" t="n">
        <f aca="false">SUMIF(BOM_V56!$B:$B,B5,BOM_V56!$M:$M)+SUMIF(BOM_V57!$B:$B,B5,BOM_V57!$M:$M)+SUMIF(BOM_v6!$B:$B,B5,BOM_v6!$M:$M)</f>
        <v>62</v>
      </c>
      <c r="Q5" s="2" t="str">
        <f aca="false">IF(P5&gt;O5,"SÍ","")</f>
        <v/>
      </c>
      <c r="R5" s="38" t="n">
        <f aca="false">N5*(1+IF(Q5="SÍ",Supuestos!$B$14,0))</f>
        <v>76.2981</v>
      </c>
      <c r="S5" s="10" t="n">
        <f aca="false">M5*R5</f>
        <v>4730.4822</v>
      </c>
      <c r="T5" s="2" t="s">
        <v>297</v>
      </c>
      <c r="U5" s="2" t="s">
        <v>644</v>
      </c>
    </row>
    <row r="6" customFormat="false" ht="15" hidden="false" customHeight="false" outlineLevel="0" collapsed="false">
      <c r="A6" s="2" t="s">
        <v>192</v>
      </c>
      <c r="B6" s="2" t="s">
        <v>193</v>
      </c>
      <c r="C6" s="2" t="s">
        <v>194</v>
      </c>
      <c r="D6" s="2" t="s">
        <v>195</v>
      </c>
      <c r="E6" s="2" t="s">
        <v>196</v>
      </c>
      <c r="F6" s="2" t="s">
        <v>197</v>
      </c>
      <c r="G6" s="2" t="n">
        <v>0</v>
      </c>
      <c r="H6" s="2" t="n">
        <v>64</v>
      </c>
      <c r="I6" s="2" t="n">
        <v>0</v>
      </c>
      <c r="J6" s="35" t="n">
        <v>1</v>
      </c>
      <c r="K6" s="6" t="n">
        <f aca="false">J6*Supuestos!D$5</f>
        <v>60</v>
      </c>
      <c r="L6" s="6" t="n">
        <f aca="false">IF(OR(U6="Resistors",U6="Capacitors"),ROUNDUP(K6*Supuestos!$B$16,0)+Supuestos!$B$17,ROUNDUP(K6*Supuestos!$B$18,0)+Supuestos!$B$19)</f>
        <v>2</v>
      </c>
      <c r="M6" s="6" t="n">
        <f aca="false">K6+L6</f>
        <v>62</v>
      </c>
      <c r="N6" s="33" t="n">
        <v>8.48</v>
      </c>
      <c r="O6" s="22" t="n">
        <v>2</v>
      </c>
      <c r="P6" s="6" t="n">
        <f aca="false">SUMIF(BOM_V56!$B:$B,B6,BOM_V56!$M:$M)+SUMIF(BOM_V57!$B:$B,B6,BOM_V57!$M:$M)+SUMIF(BOM_v6!$B:$B,B6,BOM_v6!$M:$M)</f>
        <v>570</v>
      </c>
      <c r="Q6" s="2" t="str">
        <f aca="false">IF(P6&gt;O6,"SÍ","")</f>
        <v>SÍ</v>
      </c>
      <c r="R6" s="38" t="n">
        <f aca="false">N6*(1+IF(Q6="SÍ",Supuestos!$B$14,0))</f>
        <v>9.752</v>
      </c>
      <c r="S6" s="10" t="n">
        <f aca="false">M6*R6</f>
        <v>604.624</v>
      </c>
      <c r="T6" s="2"/>
      <c r="U6" s="2" t="s">
        <v>198</v>
      </c>
    </row>
    <row r="7" customFormat="false" ht="15" hidden="false" customHeight="false" outlineLevel="0" collapsed="false">
      <c r="A7" s="2" t="s">
        <v>244</v>
      </c>
      <c r="B7" s="2" t="s">
        <v>645</v>
      </c>
      <c r="C7" s="2" t="s">
        <v>646</v>
      </c>
      <c r="D7" s="2" t="s">
        <v>647</v>
      </c>
      <c r="E7" s="2" t="s">
        <v>648</v>
      </c>
      <c r="F7" s="2" t="s">
        <v>197</v>
      </c>
      <c r="G7" s="2" t="n">
        <v>0</v>
      </c>
      <c r="H7" s="2" t="n">
        <v>124</v>
      </c>
      <c r="I7" s="2" t="n">
        <v>0</v>
      </c>
      <c r="J7" s="35" t="n">
        <v>1</v>
      </c>
      <c r="K7" s="6" t="n">
        <f aca="false">J7*Supuestos!D$5</f>
        <v>60</v>
      </c>
      <c r="L7" s="6" t="n">
        <f aca="false">IF(OR(U7="Resistors",U7="Capacitors"),ROUNDUP(K7*Supuestos!$B$16,0)+Supuestos!$B$17,ROUNDUP(K7*Supuestos!$B$18,0)+Supuestos!$B$19)</f>
        <v>2</v>
      </c>
      <c r="M7" s="6" t="n">
        <f aca="false">K7+L7</f>
        <v>62</v>
      </c>
      <c r="N7" s="33" t="n">
        <v>6.912</v>
      </c>
      <c r="O7" s="22" t="n">
        <v>44</v>
      </c>
      <c r="P7" s="6" t="n">
        <f aca="false">SUMIF(BOM_V56!$B:$B,B7,BOM_V56!$M:$M)+SUMIF(BOM_V57!$B:$B,B7,BOM_V57!$M:$M)+SUMIF(BOM_v6!$B:$B,B7,BOM_v6!$M:$M)</f>
        <v>62</v>
      </c>
      <c r="Q7" s="2" t="str">
        <f aca="false">IF(P7&gt;O7,"SÍ","")</f>
        <v>SÍ</v>
      </c>
      <c r="R7" s="38" t="n">
        <f aca="false">N7*(1+IF(Q7="SÍ",Supuestos!$B$14,0))</f>
        <v>7.9488</v>
      </c>
      <c r="S7" s="10" t="n">
        <f aca="false">M7*R7</f>
        <v>492.8256</v>
      </c>
      <c r="T7" s="2" t="s">
        <v>297</v>
      </c>
      <c r="U7" s="2" t="s">
        <v>644</v>
      </c>
    </row>
    <row r="8" customFormat="false" ht="15" hidden="false" customHeight="false" outlineLevel="0" collapsed="false">
      <c r="A8" s="2" t="s">
        <v>649</v>
      </c>
      <c r="B8" s="2" t="s">
        <v>200</v>
      </c>
      <c r="C8" s="2" t="s">
        <v>201</v>
      </c>
      <c r="D8" s="2" t="s">
        <v>202</v>
      </c>
      <c r="E8" s="2" t="s">
        <v>203</v>
      </c>
      <c r="F8" s="2" t="s">
        <v>197</v>
      </c>
      <c r="G8" s="2" t="n">
        <v>0</v>
      </c>
      <c r="H8" s="2" t="n">
        <v>25</v>
      </c>
      <c r="I8" s="2" t="n">
        <v>0</v>
      </c>
      <c r="J8" s="35" t="n">
        <v>1</v>
      </c>
      <c r="K8" s="6" t="n">
        <f aca="false">J8*Supuestos!D$5</f>
        <v>60</v>
      </c>
      <c r="L8" s="6" t="n">
        <f aca="false">IF(OR(U8="Resistors",U8="Capacitors"),ROUNDUP(K8*Supuestos!$B$16,0)+Supuestos!$B$17,ROUNDUP(K8*Supuestos!$B$18,0)+Supuestos!$B$19)</f>
        <v>2</v>
      </c>
      <c r="M8" s="6" t="n">
        <f aca="false">K8+L8</f>
        <v>62</v>
      </c>
      <c r="N8" s="33" t="n">
        <v>7.4325</v>
      </c>
      <c r="O8" s="22" t="n">
        <v>2211</v>
      </c>
      <c r="P8" s="6" t="n">
        <f aca="false">SUMIF(BOM_V56!$B:$B,B8,BOM_V56!$M:$M)+SUMIF(BOM_V57!$B:$B,B8,BOM_V57!$M:$M)+SUMIF(BOM_v6!$B:$B,B8,BOM_v6!$M:$M)</f>
        <v>570</v>
      </c>
      <c r="Q8" s="2" t="str">
        <f aca="false">IF(P8&gt;O8,"SÍ","")</f>
        <v/>
      </c>
      <c r="R8" s="38" t="n">
        <f aca="false">N8*(1+IF(Q8="SÍ",Supuestos!$B$14,0))</f>
        <v>7.4325</v>
      </c>
      <c r="S8" s="10" t="n">
        <f aca="false">M8*R8</f>
        <v>460.815</v>
      </c>
      <c r="T8" s="2"/>
      <c r="U8" s="2" t="s">
        <v>204</v>
      </c>
    </row>
    <row r="9" customFormat="false" ht="15" hidden="false" customHeight="false" outlineLevel="0" collapsed="false">
      <c r="A9" s="2" t="s">
        <v>199</v>
      </c>
      <c r="B9" s="2" t="s">
        <v>206</v>
      </c>
      <c r="C9" s="2" t="s">
        <v>207</v>
      </c>
      <c r="D9" s="2" t="s">
        <v>208</v>
      </c>
      <c r="E9" s="2" t="s">
        <v>209</v>
      </c>
      <c r="F9" s="2" t="s">
        <v>197</v>
      </c>
      <c r="G9" s="2" t="n">
        <v>0</v>
      </c>
      <c r="H9" s="2" t="n">
        <v>28</v>
      </c>
      <c r="I9" s="2" t="n">
        <v>0</v>
      </c>
      <c r="J9" s="35" t="n">
        <v>1</v>
      </c>
      <c r="K9" s="6" t="n">
        <f aca="false">J9*Supuestos!D$5</f>
        <v>60</v>
      </c>
      <c r="L9" s="6" t="n">
        <f aca="false">IF(OR(U9="Resistors",U9="Capacitors"),ROUNDUP(K9*Supuestos!$B$16,0)+Supuestos!$B$17,ROUNDUP(K9*Supuestos!$B$18,0)+Supuestos!$B$19)</f>
        <v>2</v>
      </c>
      <c r="M9" s="6" t="n">
        <f aca="false">K9+L9</f>
        <v>62</v>
      </c>
      <c r="N9" s="33" t="n">
        <v>5.4537</v>
      </c>
      <c r="O9" s="22" t="n">
        <v>7982</v>
      </c>
      <c r="P9" s="6" t="n">
        <f aca="false">SUMIF(BOM_V56!$B:$B,B9,BOM_V56!$M:$M)+SUMIF(BOM_V57!$B:$B,B9,BOM_V57!$M:$M)+SUMIF(BOM_v6!$B:$B,B9,BOM_v6!$M:$M)</f>
        <v>570</v>
      </c>
      <c r="Q9" s="2" t="str">
        <f aca="false">IF(P9&gt;O9,"SÍ","")</f>
        <v/>
      </c>
      <c r="R9" s="38" t="n">
        <f aca="false">N9*(1+IF(Q9="SÍ",Supuestos!$B$14,0))</f>
        <v>5.4537</v>
      </c>
      <c r="S9" s="10" t="n">
        <f aca="false">M9*R9</f>
        <v>338.1294</v>
      </c>
      <c r="T9" s="2"/>
      <c r="U9" s="2" t="s">
        <v>210</v>
      </c>
    </row>
    <row r="10" customFormat="false" ht="15" hidden="false" customHeight="false" outlineLevel="0" collapsed="false">
      <c r="A10" s="2" t="s">
        <v>650</v>
      </c>
      <c r="B10" s="2" t="s">
        <v>651</v>
      </c>
      <c r="C10" s="2" t="s">
        <v>652</v>
      </c>
      <c r="D10" s="2" t="s">
        <v>258</v>
      </c>
      <c r="E10" s="2" t="s">
        <v>290</v>
      </c>
      <c r="F10" s="2" t="s">
        <v>197</v>
      </c>
      <c r="G10" s="2" t="n">
        <v>0</v>
      </c>
      <c r="H10" s="2" t="n">
        <v>8</v>
      </c>
      <c r="I10" s="2" t="n">
        <v>0</v>
      </c>
      <c r="J10" s="35" t="n">
        <v>1</v>
      </c>
      <c r="K10" s="6" t="n">
        <f aca="false">J10*Supuestos!D$5</f>
        <v>60</v>
      </c>
      <c r="L10" s="6" t="n">
        <f aca="false">IF(OR(U10="Resistors",U10="Capacitors"),ROUNDUP(K10*Supuestos!$B$16,0)+Supuestos!$B$17,ROUNDUP(K10*Supuestos!$B$18,0)+Supuestos!$B$19)</f>
        <v>2</v>
      </c>
      <c r="M10" s="6" t="n">
        <f aca="false">K10+L10</f>
        <v>62</v>
      </c>
      <c r="N10" s="33" t="n">
        <v>3.8153</v>
      </c>
      <c r="O10" s="22" t="n">
        <v>7314</v>
      </c>
      <c r="P10" s="6" t="n">
        <f aca="false">SUMIF(BOM_V56!$B:$B,B10,BOM_V56!$M:$M)+SUMIF(BOM_V57!$B:$B,B10,BOM_V57!$M:$M)+SUMIF(BOM_v6!$B:$B,B10,BOM_v6!$M:$M)</f>
        <v>62</v>
      </c>
      <c r="Q10" s="2" t="str">
        <f aca="false">IF(P10&gt;O10,"SÍ","")</f>
        <v/>
      </c>
      <c r="R10" s="38" t="n">
        <f aca="false">N10*(1+IF(Q10="SÍ",Supuestos!$B$14,0))</f>
        <v>3.8153</v>
      </c>
      <c r="S10" s="10" t="n">
        <f aca="false">M10*R10</f>
        <v>236.5486</v>
      </c>
      <c r="T10" s="2"/>
      <c r="U10" s="2" t="s">
        <v>210</v>
      </c>
    </row>
    <row r="11" customFormat="false" ht="15" hidden="false" customHeight="false" outlineLevel="0" collapsed="false">
      <c r="A11" s="2" t="s">
        <v>653</v>
      </c>
      <c r="B11" s="2" t="s">
        <v>654</v>
      </c>
      <c r="C11" s="2" t="s">
        <v>655</v>
      </c>
      <c r="D11" s="2" t="s">
        <v>264</v>
      </c>
      <c r="E11" s="2" t="s">
        <v>237</v>
      </c>
      <c r="F11" s="2" t="s">
        <v>197</v>
      </c>
      <c r="G11" s="2" t="n">
        <v>0</v>
      </c>
      <c r="H11" s="2" t="n">
        <v>2</v>
      </c>
      <c r="I11" s="2" t="n">
        <v>0</v>
      </c>
      <c r="J11" s="35" t="n">
        <v>11</v>
      </c>
      <c r="K11" s="6" t="n">
        <f aca="false">J11*Supuestos!D$5</f>
        <v>660</v>
      </c>
      <c r="L11" s="6" t="n">
        <f aca="false">IF(OR(U11="Resistors",U11="Capacitors"),ROUNDUP(K11*Supuestos!$B$16,0)+Supuestos!$B$17,ROUNDUP(K11*Supuestos!$B$18,0)+Supuestos!$B$19)</f>
        <v>19</v>
      </c>
      <c r="M11" s="6" t="n">
        <f aca="false">K11+L11</f>
        <v>679</v>
      </c>
      <c r="N11" s="33" t="n">
        <v>0.2495</v>
      </c>
      <c r="O11" s="22" t="n">
        <v>2043</v>
      </c>
      <c r="P11" s="6" t="n">
        <f aca="false">SUMIF(BOM_V56!$B:$B,B11,BOM_V56!$M:$M)+SUMIF(BOM_V57!$B:$B,B11,BOM_V57!$M:$M)+SUMIF(BOM_v6!$B:$B,B11,BOM_v6!$M:$M)</f>
        <v>679</v>
      </c>
      <c r="Q11" s="2" t="str">
        <f aca="false">IF(P11&gt;O11,"SÍ","")</f>
        <v/>
      </c>
      <c r="R11" s="38" t="n">
        <f aca="false">N11*(1+IF(Q11="SÍ",Supuestos!$B$14,0))</f>
        <v>0.2495</v>
      </c>
      <c r="S11" s="10" t="n">
        <f aca="false">M11*R11</f>
        <v>169.4105</v>
      </c>
      <c r="T11" s="2"/>
      <c r="U11" s="2" t="s">
        <v>239</v>
      </c>
    </row>
    <row r="12" customFormat="false" ht="15" hidden="false" customHeight="false" outlineLevel="0" collapsed="false">
      <c r="A12" s="2" t="s">
        <v>351</v>
      </c>
      <c r="B12" s="2" t="s">
        <v>212</v>
      </c>
      <c r="C12" s="2" t="s">
        <v>213</v>
      </c>
      <c r="D12" s="2" t="s">
        <v>214</v>
      </c>
      <c r="E12" s="2" t="s">
        <v>215</v>
      </c>
      <c r="F12" s="2" t="s">
        <v>197</v>
      </c>
      <c r="G12" s="2" t="n">
        <v>0</v>
      </c>
      <c r="H12" s="2" t="n">
        <v>9</v>
      </c>
      <c r="I12" s="2" t="n">
        <v>0</v>
      </c>
      <c r="J12" s="35" t="n">
        <v>1</v>
      </c>
      <c r="K12" s="6" t="n">
        <f aca="false">J12*Supuestos!D$5</f>
        <v>60</v>
      </c>
      <c r="L12" s="6" t="n">
        <f aca="false">IF(OR(U12="Resistors",U12="Capacitors"),ROUNDUP(K12*Supuestos!$B$16,0)+Supuestos!$B$17,ROUNDUP(K12*Supuestos!$B$18,0)+Supuestos!$B$19)</f>
        <v>2</v>
      </c>
      <c r="M12" s="6" t="n">
        <f aca="false">K12+L12</f>
        <v>62</v>
      </c>
      <c r="N12" s="33" t="n">
        <v>2.5763</v>
      </c>
      <c r="O12" s="22" t="n">
        <v>1189</v>
      </c>
      <c r="P12" s="6" t="n">
        <f aca="false">SUMIF(BOM_V56!$B:$B,B12,BOM_V56!$M:$M)+SUMIF(BOM_V57!$B:$B,B12,BOM_V57!$M:$M)+SUMIF(BOM_v6!$B:$B,B12,BOM_v6!$M:$M)</f>
        <v>706</v>
      </c>
      <c r="Q12" s="2" t="str">
        <f aca="false">IF(P12&gt;O12,"SÍ","")</f>
        <v/>
      </c>
      <c r="R12" s="38" t="n">
        <f aca="false">N12*(1+IF(Q12="SÍ",Supuestos!$B$14,0))</f>
        <v>2.5763</v>
      </c>
      <c r="S12" s="10" t="n">
        <f aca="false">M12*R12</f>
        <v>159.7306</v>
      </c>
      <c r="T12" s="2"/>
      <c r="U12" s="2" t="s">
        <v>216</v>
      </c>
    </row>
    <row r="13" customFormat="false" ht="15" hidden="false" customHeight="false" outlineLevel="0" collapsed="false">
      <c r="A13" s="2" t="s">
        <v>292</v>
      </c>
      <c r="B13" s="2" t="s">
        <v>218</v>
      </c>
      <c r="C13" s="2" t="s">
        <v>219</v>
      </c>
      <c r="D13" s="2" t="s">
        <v>220</v>
      </c>
      <c r="E13" s="2" t="s">
        <v>221</v>
      </c>
      <c r="F13" s="2" t="s">
        <v>197</v>
      </c>
      <c r="G13" s="2" t="n">
        <v>0</v>
      </c>
      <c r="H13" s="2" t="n">
        <v>48</v>
      </c>
      <c r="I13" s="2" t="n">
        <v>0</v>
      </c>
      <c r="J13" s="35" t="n">
        <v>1</v>
      </c>
      <c r="K13" s="6" t="n">
        <f aca="false">J13*Supuestos!D$5</f>
        <v>60</v>
      </c>
      <c r="L13" s="6" t="n">
        <f aca="false">IF(OR(U13="Resistors",U13="Capacitors"),ROUNDUP(K13*Supuestos!$B$16,0)+Supuestos!$B$17,ROUNDUP(K13*Supuestos!$B$18,0)+Supuestos!$B$19)</f>
        <v>2</v>
      </c>
      <c r="M13" s="6" t="n">
        <f aca="false">K13+L13</f>
        <v>62</v>
      </c>
      <c r="N13" s="33" t="n">
        <v>2.2129</v>
      </c>
      <c r="O13" s="22" t="n">
        <v>23249</v>
      </c>
      <c r="P13" s="6" t="n">
        <f aca="false">SUMIF(BOM_V56!$B:$B,B13,BOM_V56!$M:$M)+SUMIF(BOM_V57!$B:$B,B13,BOM_V57!$M:$M)+SUMIF(BOM_v6!$B:$B,B13,BOM_v6!$M:$M)</f>
        <v>570</v>
      </c>
      <c r="Q13" s="2" t="str">
        <f aca="false">IF(P13&gt;O13,"SÍ","")</f>
        <v/>
      </c>
      <c r="R13" s="38" t="n">
        <f aca="false">N13*(1+IF(Q13="SÍ",Supuestos!$B$14,0))</f>
        <v>2.2129</v>
      </c>
      <c r="S13" s="10" t="n">
        <f aca="false">M13*R13</f>
        <v>137.1998</v>
      </c>
      <c r="T13" s="2"/>
      <c r="U13" s="2" t="s">
        <v>210</v>
      </c>
    </row>
    <row r="14" customFormat="false" ht="15" hidden="false" customHeight="false" outlineLevel="0" collapsed="false">
      <c r="A14" s="2" t="s">
        <v>656</v>
      </c>
      <c r="B14" s="2" t="s">
        <v>223</v>
      </c>
      <c r="C14" s="2" t="s">
        <v>224</v>
      </c>
      <c r="D14" s="2" t="s">
        <v>225</v>
      </c>
      <c r="E14" s="39" t="s">
        <v>226</v>
      </c>
      <c r="F14" s="2" t="s">
        <v>197</v>
      </c>
      <c r="G14" s="2" t="n">
        <v>1</v>
      </c>
      <c r="H14" s="2" t="n">
        <v>0</v>
      </c>
      <c r="I14" s="2" t="n">
        <v>20</v>
      </c>
      <c r="J14" s="35" t="n">
        <v>2</v>
      </c>
      <c r="K14" s="6" t="n">
        <f aca="false">J14*Supuestos!D$5</f>
        <v>120</v>
      </c>
      <c r="L14" s="6" t="n">
        <f aca="false">IF(OR(U14="Resistors",U14="Capacitors"),ROUNDUP(K14*Supuestos!$B$16,0)+Supuestos!$B$17,ROUNDUP(K14*Supuestos!$B$18,0)+Supuestos!$B$19)</f>
        <v>3</v>
      </c>
      <c r="M14" s="6" t="n">
        <f aca="false">K14+L14</f>
        <v>123</v>
      </c>
      <c r="N14" s="33" t="n">
        <v>0.8953</v>
      </c>
      <c r="O14" s="22" t="n">
        <v>2769</v>
      </c>
      <c r="P14" s="6" t="n">
        <f aca="false">SUMIF(BOM_V56!$B:$B,B14,BOM_V56!$M:$M)+SUMIF(BOM_V57!$B:$B,B14,BOM_V57!$M:$M)+SUMIF(BOM_v6!$B:$B,B14,BOM_v6!$M:$M)</f>
        <v>1136</v>
      </c>
      <c r="Q14" s="2" t="str">
        <f aca="false">IF(P14&gt;O14,"SÍ","")</f>
        <v/>
      </c>
      <c r="R14" s="38" t="n">
        <f aca="false">N14*(1+IF(Q14="SÍ",Supuestos!$B$14,0))</f>
        <v>0.8953</v>
      </c>
      <c r="S14" s="10" t="n">
        <f aca="false">M14*R14</f>
        <v>110.1219</v>
      </c>
      <c r="T14" s="2"/>
      <c r="U14" s="2" t="s">
        <v>227</v>
      </c>
    </row>
    <row r="15" customFormat="false" ht="15" hidden="false" customHeight="false" outlineLevel="0" collapsed="false">
      <c r="A15" s="2" t="s">
        <v>657</v>
      </c>
      <c r="B15" s="2" t="s">
        <v>241</v>
      </c>
      <c r="C15" s="2" t="s">
        <v>242</v>
      </c>
      <c r="D15" s="2" t="s">
        <v>208</v>
      </c>
      <c r="E15" s="2" t="s">
        <v>243</v>
      </c>
      <c r="F15" s="2" t="s">
        <v>197</v>
      </c>
      <c r="G15" s="2" t="n">
        <v>0</v>
      </c>
      <c r="H15" s="2" t="n">
        <v>16</v>
      </c>
      <c r="I15" s="2" t="n">
        <v>0</v>
      </c>
      <c r="J15" s="35" t="n">
        <v>1</v>
      </c>
      <c r="K15" s="6" t="n">
        <f aca="false">J15*Supuestos!D$5</f>
        <v>60</v>
      </c>
      <c r="L15" s="6" t="n">
        <f aca="false">IF(OR(U15="Resistors",U15="Capacitors"),ROUNDUP(K15*Supuestos!$B$16,0)+Supuestos!$B$17,ROUNDUP(K15*Supuestos!$B$18,0)+Supuestos!$B$19)</f>
        <v>2</v>
      </c>
      <c r="M15" s="6" t="n">
        <f aca="false">K15+L15</f>
        <v>62</v>
      </c>
      <c r="N15" s="33" t="n">
        <v>1.5926</v>
      </c>
      <c r="O15" s="22" t="n">
        <v>18198</v>
      </c>
      <c r="P15" s="6" t="n">
        <f aca="false">SUMIF(BOM_V56!$B:$B,B15,BOM_V56!$M:$M)+SUMIF(BOM_V57!$B:$B,B15,BOM_V57!$M:$M)+SUMIF(BOM_v6!$B:$B,B15,BOM_v6!$M:$M)</f>
        <v>570</v>
      </c>
      <c r="Q15" s="2" t="str">
        <f aca="false">IF(P15&gt;O15,"SÍ","")</f>
        <v/>
      </c>
      <c r="R15" s="38" t="n">
        <f aca="false">N15*(1+IF(Q15="SÍ",Supuestos!$B$14,0))</f>
        <v>1.5926</v>
      </c>
      <c r="S15" s="10" t="n">
        <f aca="false">M15*R15</f>
        <v>98.7412</v>
      </c>
      <c r="T15" s="2"/>
      <c r="U15" s="2" t="s">
        <v>210</v>
      </c>
    </row>
    <row r="16" customFormat="false" ht="15" hidden="false" customHeight="false" outlineLevel="0" collapsed="false">
      <c r="A16" s="2" t="s">
        <v>303</v>
      </c>
      <c r="B16" s="2" t="s">
        <v>229</v>
      </c>
      <c r="C16" s="2" t="s">
        <v>230</v>
      </c>
      <c r="D16" s="2" t="s">
        <v>231</v>
      </c>
      <c r="E16" s="2" t="s">
        <v>232</v>
      </c>
      <c r="F16" s="2" t="s">
        <v>197</v>
      </c>
      <c r="G16" s="2" t="n">
        <v>0</v>
      </c>
      <c r="H16" s="2" t="n">
        <v>9</v>
      </c>
      <c r="I16" s="2" t="n">
        <v>0</v>
      </c>
      <c r="J16" s="35" t="n">
        <v>1</v>
      </c>
      <c r="K16" s="6" t="n">
        <f aca="false">J16*Supuestos!D$5</f>
        <v>60</v>
      </c>
      <c r="L16" s="6" t="n">
        <f aca="false">IF(OR(U16="Resistors",U16="Capacitors"),ROUNDUP(K16*Supuestos!$B$16,0)+Supuestos!$B$17,ROUNDUP(K16*Supuestos!$B$18,0)+Supuestos!$B$19)</f>
        <v>2</v>
      </c>
      <c r="M16" s="6" t="n">
        <f aca="false">K16+L16</f>
        <v>62</v>
      </c>
      <c r="N16" s="33" t="n">
        <v>1.3782</v>
      </c>
      <c r="O16" s="22" t="n">
        <v>1</v>
      </c>
      <c r="P16" s="6" t="n">
        <f aca="false">SUMIF(BOM_V56!$B:$B,B16,BOM_V56!$M:$M)+SUMIF(BOM_V57!$B:$B,B16,BOM_V57!$M:$M)+SUMIF(BOM_v6!$B:$B,B16,BOM_v6!$M:$M)</f>
        <v>570</v>
      </c>
      <c r="Q16" s="2" t="str">
        <f aca="false">IF(P16&gt;O16,"SÍ","")</f>
        <v>SÍ</v>
      </c>
      <c r="R16" s="38" t="n">
        <f aca="false">N16*(1+IF(Q16="SÍ",Supuestos!$B$14,0))</f>
        <v>1.58493</v>
      </c>
      <c r="S16" s="10" t="n">
        <f aca="false">M16*R16</f>
        <v>98.26566</v>
      </c>
      <c r="T16" s="2"/>
      <c r="U16" s="2" t="s">
        <v>216</v>
      </c>
    </row>
    <row r="17" customFormat="false" ht="15" hidden="false" customHeight="false" outlineLevel="0" collapsed="false">
      <c r="A17" s="2" t="s">
        <v>603</v>
      </c>
      <c r="B17" s="2" t="s">
        <v>658</v>
      </c>
      <c r="C17" s="2" t="s">
        <v>659</v>
      </c>
      <c r="D17" s="2" t="s">
        <v>389</v>
      </c>
      <c r="E17" s="2" t="s">
        <v>660</v>
      </c>
      <c r="F17" s="2" t="s">
        <v>197</v>
      </c>
      <c r="G17" s="2" t="n">
        <v>0</v>
      </c>
      <c r="H17" s="2" t="n">
        <v>2</v>
      </c>
      <c r="I17" s="2" t="n">
        <v>0</v>
      </c>
      <c r="J17" s="35" t="n">
        <v>1</v>
      </c>
      <c r="K17" s="6" t="n">
        <f aca="false">J17*Supuestos!D$5</f>
        <v>60</v>
      </c>
      <c r="L17" s="6" t="n">
        <f aca="false">IF(OR(U17="Resistors",U17="Capacitors"),ROUNDUP(K17*Supuestos!$B$16,0)+Supuestos!$B$17,ROUNDUP(K17*Supuestos!$B$18,0)+Supuestos!$B$19)</f>
        <v>2</v>
      </c>
      <c r="M17" s="6" t="n">
        <f aca="false">K17+L17</f>
        <v>62</v>
      </c>
      <c r="N17" s="33" t="n">
        <v>1.5566</v>
      </c>
      <c r="O17" s="22" t="n">
        <v>4297</v>
      </c>
      <c r="P17" s="6" t="n">
        <f aca="false">SUMIF(BOM_V56!$B:$B,B17,BOM_V56!$M:$M)+SUMIF(BOM_V57!$B:$B,B17,BOM_V57!$M:$M)+SUMIF(BOM_v6!$B:$B,B17,BOM_v6!$M:$M)</f>
        <v>62</v>
      </c>
      <c r="Q17" s="2" t="str">
        <f aca="false">IF(P17&gt;O17,"SÍ","")</f>
        <v/>
      </c>
      <c r="R17" s="38" t="n">
        <f aca="false">N17*(1+IF(Q17="SÍ",Supuestos!$B$14,0))</f>
        <v>1.5566</v>
      </c>
      <c r="S17" s="10" t="n">
        <f aca="false">M17*R17</f>
        <v>96.5092</v>
      </c>
      <c r="T17" s="2"/>
      <c r="U17" s="2" t="s">
        <v>370</v>
      </c>
    </row>
    <row r="18" customFormat="false" ht="15" hidden="false" customHeight="false" outlineLevel="0" collapsed="false">
      <c r="A18" s="2" t="s">
        <v>661</v>
      </c>
      <c r="B18" s="2" t="s">
        <v>245</v>
      </c>
      <c r="C18" s="2" t="s">
        <v>246</v>
      </c>
      <c r="D18" s="2" t="s">
        <v>247</v>
      </c>
      <c r="E18" s="2" t="s">
        <v>248</v>
      </c>
      <c r="F18" s="2" t="s">
        <v>197</v>
      </c>
      <c r="G18" s="2" t="n">
        <v>0</v>
      </c>
      <c r="H18" s="2" t="n">
        <v>4</v>
      </c>
      <c r="I18" s="2" t="n">
        <v>0</v>
      </c>
      <c r="J18" s="35" t="n">
        <v>1</v>
      </c>
      <c r="K18" s="6" t="n">
        <f aca="false">J18*Supuestos!D$5</f>
        <v>60</v>
      </c>
      <c r="L18" s="6" t="n">
        <f aca="false">IF(OR(U18="Resistors",U18="Capacitors"),ROUNDUP(K18*Supuestos!$B$16,0)+Supuestos!$B$17,ROUNDUP(K18*Supuestos!$B$18,0)+Supuestos!$B$19)</f>
        <v>2</v>
      </c>
      <c r="M18" s="6" t="n">
        <f aca="false">K18+L18</f>
        <v>62</v>
      </c>
      <c r="N18" s="33" t="n">
        <v>1.3585</v>
      </c>
      <c r="O18" s="22" t="n">
        <v>5836</v>
      </c>
      <c r="P18" s="6" t="n">
        <f aca="false">SUMIF(BOM_V56!$B:$B,B18,BOM_V56!$M:$M)+SUMIF(BOM_V57!$B:$B,B18,BOM_V57!$M:$M)+SUMIF(BOM_v6!$B:$B,B18,BOM_v6!$M:$M)</f>
        <v>570</v>
      </c>
      <c r="Q18" s="2" t="str">
        <f aca="false">IF(P18&gt;O18,"SÍ","")</f>
        <v/>
      </c>
      <c r="R18" s="38" t="n">
        <f aca="false">N18*(1+IF(Q18="SÍ",Supuestos!$B$14,0))</f>
        <v>1.3585</v>
      </c>
      <c r="S18" s="10" t="n">
        <f aca="false">M18*R18</f>
        <v>84.227</v>
      </c>
      <c r="T18" s="2"/>
      <c r="U18" s="2" t="s">
        <v>249</v>
      </c>
    </row>
    <row r="19" customFormat="false" ht="15" hidden="false" customHeight="false" outlineLevel="0" collapsed="false">
      <c r="A19" s="2" t="s">
        <v>662</v>
      </c>
      <c r="B19" s="2" t="s">
        <v>262</v>
      </c>
      <c r="C19" s="2" t="s">
        <v>263</v>
      </c>
      <c r="D19" s="2" t="s">
        <v>264</v>
      </c>
      <c r="E19" s="2" t="s">
        <v>237</v>
      </c>
      <c r="F19" s="2" t="s">
        <v>238</v>
      </c>
      <c r="G19" s="2" t="n">
        <v>0</v>
      </c>
      <c r="H19" s="2" t="n">
        <v>2</v>
      </c>
      <c r="I19" s="2" t="n">
        <v>0</v>
      </c>
      <c r="J19" s="35" t="n">
        <v>9</v>
      </c>
      <c r="K19" s="6" t="n">
        <f aca="false">J19*Supuestos!D$5</f>
        <v>540</v>
      </c>
      <c r="L19" s="6" t="n">
        <f aca="false">IF(OR(U19="Resistors",U19="Capacitors"),ROUNDUP(K19*Supuestos!$B$16,0)+Supuestos!$B$17,ROUNDUP(K19*Supuestos!$B$18,0)+Supuestos!$B$19)</f>
        <v>16</v>
      </c>
      <c r="M19" s="6" t="n">
        <f aca="false">K19+L19</f>
        <v>556</v>
      </c>
      <c r="N19" s="33" t="n">
        <v>0.1416</v>
      </c>
      <c r="O19" s="22" t="n">
        <v>1342998</v>
      </c>
      <c r="P19" s="6" t="n">
        <f aca="false">SUMIF(BOM_V56!$B:$B,B19,BOM_V56!$M:$M)+SUMIF(BOM_V57!$B:$B,B19,BOM_V57!$M:$M)+SUMIF(BOM_v6!$B:$B,B19,BOM_v6!$M:$M)</f>
        <v>3117</v>
      </c>
      <c r="Q19" s="2" t="str">
        <f aca="false">IF(P19&gt;O19,"SÍ","")</f>
        <v/>
      </c>
      <c r="R19" s="38" t="n">
        <f aca="false">N19*(1+IF(Q19="SÍ",Supuestos!$B$14,0))</f>
        <v>0.1416</v>
      </c>
      <c r="S19" s="10" t="n">
        <f aca="false">M19*R19</f>
        <v>78.7296</v>
      </c>
      <c r="T19" s="2"/>
      <c r="U19" s="2" t="s">
        <v>239</v>
      </c>
    </row>
    <row r="20" customFormat="false" ht="15" hidden="false" customHeight="false" outlineLevel="0" collapsed="false">
      <c r="A20" s="2" t="s">
        <v>663</v>
      </c>
      <c r="B20" s="2" t="s">
        <v>251</v>
      </c>
      <c r="C20" s="2" t="s">
        <v>252</v>
      </c>
      <c r="D20" s="2" t="s">
        <v>253</v>
      </c>
      <c r="E20" s="39" t="s">
        <v>226</v>
      </c>
      <c r="F20" s="2" t="s">
        <v>197</v>
      </c>
      <c r="G20" s="2" t="n">
        <v>1</v>
      </c>
      <c r="H20" s="2" t="n">
        <v>0</v>
      </c>
      <c r="I20" s="2" t="n">
        <v>14</v>
      </c>
      <c r="J20" s="35" t="n">
        <v>1</v>
      </c>
      <c r="K20" s="6" t="n">
        <f aca="false">J20*Supuestos!D$5</f>
        <v>60</v>
      </c>
      <c r="L20" s="6" t="n">
        <f aca="false">IF(OR(U20="Resistors",U20="Capacitors"),ROUNDUP(K20*Supuestos!$B$16,0)+Supuestos!$B$17,ROUNDUP(K20*Supuestos!$B$18,0)+Supuestos!$B$19)</f>
        <v>2</v>
      </c>
      <c r="M20" s="6" t="n">
        <f aca="false">K20+L20</f>
        <v>62</v>
      </c>
      <c r="N20" s="33" t="n">
        <v>1.2112</v>
      </c>
      <c r="O20" s="22" t="n">
        <v>69838</v>
      </c>
      <c r="P20" s="6" t="n">
        <f aca="false">SUMIF(BOM_V56!$B:$B,B20,BOM_V56!$M:$M)+SUMIF(BOM_V57!$B:$B,B20,BOM_V57!$M:$M)+SUMIF(BOM_v6!$B:$B,B20,BOM_v6!$M:$M)</f>
        <v>570</v>
      </c>
      <c r="Q20" s="2" t="str">
        <f aca="false">IF(P20&gt;O20,"SÍ","")</f>
        <v/>
      </c>
      <c r="R20" s="38" t="n">
        <f aca="false">N20*(1+IF(Q20="SÍ",Supuestos!$B$14,0))</f>
        <v>1.2112</v>
      </c>
      <c r="S20" s="10" t="n">
        <f aca="false">M20*R20</f>
        <v>75.0944</v>
      </c>
      <c r="T20" s="2"/>
      <c r="U20" s="2" t="s">
        <v>254</v>
      </c>
    </row>
    <row r="21" customFormat="false" ht="15" hidden="false" customHeight="false" outlineLevel="0" collapsed="false">
      <c r="A21" s="2" t="s">
        <v>664</v>
      </c>
      <c r="B21" s="2" t="s">
        <v>592</v>
      </c>
      <c r="C21" s="2" t="s">
        <v>593</v>
      </c>
      <c r="D21" s="2" t="s">
        <v>594</v>
      </c>
      <c r="E21" s="2" t="s">
        <v>595</v>
      </c>
      <c r="F21" s="2" t="s">
        <v>197</v>
      </c>
      <c r="G21" s="2" t="n">
        <v>0</v>
      </c>
      <c r="H21" s="2" t="n">
        <v>2</v>
      </c>
      <c r="I21" s="2" t="n">
        <v>0</v>
      </c>
      <c r="J21" s="35" t="n">
        <v>1</v>
      </c>
      <c r="K21" s="6" t="n">
        <f aca="false">J21*Supuestos!D$5</f>
        <v>60</v>
      </c>
      <c r="L21" s="6" t="n">
        <f aca="false">IF(OR(U21="Resistors",U21="Capacitors"),ROUNDUP(K21*Supuestos!$B$16,0)+Supuestos!$B$17,ROUNDUP(K21*Supuestos!$B$18,0)+Supuestos!$B$19)</f>
        <v>2</v>
      </c>
      <c r="M21" s="6" t="n">
        <f aca="false">K21+L21</f>
        <v>62</v>
      </c>
      <c r="N21" s="33" t="n">
        <v>0.9248</v>
      </c>
      <c r="O21" s="22" t="n">
        <v>0</v>
      </c>
      <c r="P21" s="6" t="n">
        <f aca="false">SUMIF(BOM_V56!$B:$B,B21,BOM_V56!$M:$M)+SUMIF(BOM_V57!$B:$B,B21,BOM_V57!$M:$M)+SUMIF(BOM_v6!$B:$B,B21,BOM_v6!$M:$M)</f>
        <v>432</v>
      </c>
      <c r="Q21" s="2" t="str">
        <f aca="false">IF(P21&gt;O21,"SÍ","")</f>
        <v>SÍ</v>
      </c>
      <c r="R21" s="38" t="n">
        <f aca="false">N21*(1+IF(Q21="SÍ",Supuestos!$B$14,0))</f>
        <v>1.06352</v>
      </c>
      <c r="S21" s="10" t="n">
        <f aca="false">M21*R21</f>
        <v>65.93824</v>
      </c>
      <c r="T21" s="2"/>
      <c r="U21" s="2" t="s">
        <v>596</v>
      </c>
    </row>
    <row r="22" customFormat="false" ht="15" hidden="false" customHeight="false" outlineLevel="0" collapsed="false">
      <c r="A22" s="2" t="s">
        <v>665</v>
      </c>
      <c r="B22" s="2" t="s">
        <v>308</v>
      </c>
      <c r="C22" s="2" t="s">
        <v>309</v>
      </c>
      <c r="D22" s="2" t="s">
        <v>310</v>
      </c>
      <c r="E22" s="2" t="s">
        <v>311</v>
      </c>
      <c r="F22" s="2" t="s">
        <v>197</v>
      </c>
      <c r="G22" s="2" t="n">
        <v>0</v>
      </c>
      <c r="H22" s="2" t="n">
        <v>2</v>
      </c>
      <c r="I22" s="2" t="n">
        <v>0</v>
      </c>
      <c r="J22" s="35" t="n">
        <v>6</v>
      </c>
      <c r="K22" s="6" t="n">
        <f aca="false">J22*Supuestos!D$5</f>
        <v>360</v>
      </c>
      <c r="L22" s="6" t="n">
        <f aca="false">IF(OR(U22="Resistors",U22="Capacitors"),ROUNDUP(K22*Supuestos!$B$16,0)+Supuestos!$B$17,ROUNDUP(K22*Supuestos!$B$18,0)+Supuestos!$B$19)</f>
        <v>13</v>
      </c>
      <c r="M22" s="6" t="n">
        <f aca="false">K22+L22</f>
        <v>373</v>
      </c>
      <c r="N22" s="33" t="n">
        <v>0.1454</v>
      </c>
      <c r="O22" s="22" t="n">
        <v>151177</v>
      </c>
      <c r="P22" s="6" t="n">
        <f aca="false">SUMIF(BOM_V56!$B:$B,B22,BOM_V56!$M:$M)+SUMIF(BOM_V57!$B:$B,B22,BOM_V57!$M:$M)+SUMIF(BOM_v6!$B:$B,B22,BOM_v6!$M:$M)</f>
        <v>2149</v>
      </c>
      <c r="Q22" s="2" t="str">
        <f aca="false">IF(P22&gt;O22,"SÍ","")</f>
        <v/>
      </c>
      <c r="R22" s="38" t="n">
        <f aca="false">N22*(1+IF(Q22="SÍ",Supuestos!$B$14,0))</f>
        <v>0.1454</v>
      </c>
      <c r="S22" s="10" t="n">
        <f aca="false">M22*R22</f>
        <v>54.2342</v>
      </c>
      <c r="T22" s="2"/>
      <c r="U22" s="2" t="s">
        <v>239</v>
      </c>
    </row>
    <row r="23" customFormat="false" ht="15" hidden="false" customHeight="false" outlineLevel="0" collapsed="false">
      <c r="A23" s="2" t="s">
        <v>666</v>
      </c>
      <c r="B23" s="2" t="s">
        <v>256</v>
      </c>
      <c r="C23" s="2" t="s">
        <v>257</v>
      </c>
      <c r="D23" s="2" t="s">
        <v>258</v>
      </c>
      <c r="E23" s="2" t="s">
        <v>259</v>
      </c>
      <c r="F23" s="2" t="s">
        <v>197</v>
      </c>
      <c r="G23" s="2" t="n">
        <v>0</v>
      </c>
      <c r="H23" s="2" t="n">
        <v>6</v>
      </c>
      <c r="I23" s="2" t="n">
        <v>0</v>
      </c>
      <c r="J23" s="35" t="n">
        <v>2</v>
      </c>
      <c r="K23" s="6" t="n">
        <f aca="false">J23*Supuestos!D$5</f>
        <v>120</v>
      </c>
      <c r="L23" s="6" t="n">
        <f aca="false">IF(OR(U23="Resistors",U23="Capacitors"),ROUNDUP(K23*Supuestos!$B$16,0)+Supuestos!$B$17,ROUNDUP(K23*Supuestos!$B$18,0)+Supuestos!$B$19)</f>
        <v>3</v>
      </c>
      <c r="M23" s="6" t="n">
        <f aca="false">K23+L23</f>
        <v>123</v>
      </c>
      <c r="N23" s="33" t="n">
        <v>0.3994</v>
      </c>
      <c r="O23" s="22" t="n">
        <v>34765</v>
      </c>
      <c r="P23" s="6" t="n">
        <f aca="false">SUMIF(BOM_V56!$B:$B,B23,BOM_V56!$M:$M)+SUMIF(BOM_V57!$B:$B,B23,BOM_V57!$M:$M)+SUMIF(BOM_v6!$B:$B,B23,BOM_v6!$M:$M)</f>
        <v>1136</v>
      </c>
      <c r="Q23" s="2" t="str">
        <f aca="false">IF(P23&gt;O23,"SÍ","")</f>
        <v/>
      </c>
      <c r="R23" s="38" t="n">
        <f aca="false">N23*(1+IF(Q23="SÍ",Supuestos!$B$14,0))</f>
        <v>0.3994</v>
      </c>
      <c r="S23" s="10" t="n">
        <f aca="false">M23*R23</f>
        <v>49.1262</v>
      </c>
      <c r="T23" s="2"/>
      <c r="U23" s="2" t="s">
        <v>260</v>
      </c>
    </row>
    <row r="24" customFormat="false" ht="15" hidden="false" customHeight="false" outlineLevel="0" collapsed="false">
      <c r="A24" s="2" t="s">
        <v>667</v>
      </c>
      <c r="B24" s="2" t="s">
        <v>272</v>
      </c>
      <c r="C24" s="2" t="s">
        <v>273</v>
      </c>
      <c r="D24" s="2" t="s">
        <v>274</v>
      </c>
      <c r="E24" s="2" t="s">
        <v>275</v>
      </c>
      <c r="F24" s="2" t="s">
        <v>197</v>
      </c>
      <c r="G24" s="2" t="n">
        <v>0</v>
      </c>
      <c r="H24" s="2" t="n">
        <v>2</v>
      </c>
      <c r="I24" s="2" t="n">
        <v>0</v>
      </c>
      <c r="J24" s="35" t="n">
        <v>4</v>
      </c>
      <c r="K24" s="6" t="n">
        <f aca="false">J24*Supuestos!D$5</f>
        <v>240</v>
      </c>
      <c r="L24" s="6" t="n">
        <f aca="false">IF(OR(U24="Resistors",U24="Capacitors"),ROUNDUP(K24*Supuestos!$B$16,0)+Supuestos!$B$17,ROUNDUP(K24*Supuestos!$B$18,0)+Supuestos!$B$19)</f>
        <v>10</v>
      </c>
      <c r="M24" s="6" t="n">
        <f aca="false">K24+L24</f>
        <v>250</v>
      </c>
      <c r="N24" s="33" t="n">
        <v>0.168</v>
      </c>
      <c r="O24" s="22" t="n">
        <v>97221</v>
      </c>
      <c r="P24" s="6" t="n">
        <f aca="false">SUMIF(BOM_V56!$B:$B,B24,BOM_V56!$M:$M)+SUMIF(BOM_V57!$B:$B,B24,BOM_V57!$M:$M)+SUMIF(BOM_v6!$B:$B,B24,BOM_v6!$M:$M)</f>
        <v>1791</v>
      </c>
      <c r="Q24" s="2" t="str">
        <f aca="false">IF(P24&gt;O24,"SÍ","")</f>
        <v/>
      </c>
      <c r="R24" s="38" t="n">
        <f aca="false">N24*(1+IF(Q24="SÍ",Supuestos!$B$14,0))</f>
        <v>0.168</v>
      </c>
      <c r="S24" s="10" t="n">
        <f aca="false">M24*R24</f>
        <v>42</v>
      </c>
      <c r="T24" s="2"/>
      <c r="U24" s="2" t="s">
        <v>239</v>
      </c>
    </row>
    <row r="25" customFormat="false" ht="15" hidden="false" customHeight="false" outlineLevel="0" collapsed="false">
      <c r="A25" s="2" t="s">
        <v>668</v>
      </c>
      <c r="B25" s="2" t="s">
        <v>669</v>
      </c>
      <c r="C25" s="2" t="s">
        <v>670</v>
      </c>
      <c r="D25" s="2" t="s">
        <v>671</v>
      </c>
      <c r="E25" s="2" t="s">
        <v>672</v>
      </c>
      <c r="F25" s="2" t="s">
        <v>197</v>
      </c>
      <c r="G25" s="2" t="n">
        <v>0</v>
      </c>
      <c r="H25" s="2" t="n">
        <v>8</v>
      </c>
      <c r="I25" s="2" t="n">
        <v>0</v>
      </c>
      <c r="J25" s="35" t="n">
        <v>2</v>
      </c>
      <c r="K25" s="6" t="n">
        <f aca="false">J25*Supuestos!D$5</f>
        <v>120</v>
      </c>
      <c r="L25" s="6" t="n">
        <f aca="false">IF(OR(U25="Resistors",U25="Capacitors"),ROUNDUP(K25*Supuestos!$B$16,0)+Supuestos!$B$17,ROUNDUP(K25*Supuestos!$B$18,0)+Supuestos!$B$19)</f>
        <v>3</v>
      </c>
      <c r="M25" s="6" t="n">
        <f aca="false">K25+L25</f>
        <v>123</v>
      </c>
      <c r="N25" s="33" t="n">
        <v>0.2693</v>
      </c>
      <c r="O25" s="22" t="n">
        <v>59074</v>
      </c>
      <c r="P25" s="6" t="n">
        <f aca="false">SUMIF(BOM_V56!$B:$B,B25,BOM_V56!$M:$M)+SUMIF(BOM_V57!$B:$B,B25,BOM_V57!$M:$M)+SUMIF(BOM_v6!$B:$B,B25,BOM_v6!$M:$M)</f>
        <v>123</v>
      </c>
      <c r="Q25" s="2" t="str">
        <f aca="false">IF(P25&gt;O25,"SÍ","")</f>
        <v/>
      </c>
      <c r="R25" s="38" t="n">
        <f aca="false">N25*(1+IF(Q25="SÍ",Supuestos!$B$14,0))</f>
        <v>0.2693</v>
      </c>
      <c r="S25" s="10" t="n">
        <f aca="false">M25*R25</f>
        <v>33.1239</v>
      </c>
      <c r="T25" s="2"/>
      <c r="U25" s="2" t="s">
        <v>673</v>
      </c>
    </row>
    <row r="26" customFormat="false" ht="15" hidden="false" customHeight="false" outlineLevel="0" collapsed="false">
      <c r="A26" s="2" t="s">
        <v>674</v>
      </c>
      <c r="B26" s="2" t="s">
        <v>599</v>
      </c>
      <c r="C26" s="2" t="s">
        <v>600</v>
      </c>
      <c r="D26" s="2" t="s">
        <v>258</v>
      </c>
      <c r="E26" s="2" t="s">
        <v>215</v>
      </c>
      <c r="F26" s="2" t="s">
        <v>197</v>
      </c>
      <c r="G26" s="2" t="n">
        <v>0</v>
      </c>
      <c r="H26" s="2" t="n">
        <v>9</v>
      </c>
      <c r="I26" s="2" t="n">
        <v>0</v>
      </c>
      <c r="J26" s="35" t="n">
        <v>1</v>
      </c>
      <c r="K26" s="6" t="n">
        <f aca="false">J26*Supuestos!D$5</f>
        <v>60</v>
      </c>
      <c r="L26" s="6" t="n">
        <f aca="false">IF(OR(U26="Resistors",U26="Capacitors"),ROUNDUP(K26*Supuestos!$B$16,0)+Supuestos!$B$17,ROUNDUP(K26*Supuestos!$B$18,0)+Supuestos!$B$19)</f>
        <v>2</v>
      </c>
      <c r="M26" s="6" t="n">
        <f aca="false">K26+L26</f>
        <v>62</v>
      </c>
      <c r="N26" s="33" t="n">
        <v>0.5385</v>
      </c>
      <c r="O26" s="22" t="n">
        <v>57418</v>
      </c>
      <c r="P26" s="6" t="n">
        <f aca="false">SUMIF(BOM_V56!$B:$B,B26,BOM_V56!$M:$M)+SUMIF(BOM_V57!$B:$B,B26,BOM_V57!$M:$M)+SUMIF(BOM_v6!$B:$B,B26,BOM_v6!$M:$M)</f>
        <v>432</v>
      </c>
      <c r="Q26" s="2" t="str">
        <f aca="false">IF(P26&gt;O26,"SÍ","")</f>
        <v/>
      </c>
      <c r="R26" s="38" t="n">
        <f aca="false">N26*(1+IF(Q26="SÍ",Supuestos!$B$14,0))</f>
        <v>0.5385</v>
      </c>
      <c r="S26" s="10" t="n">
        <f aca="false">M26*R26</f>
        <v>33.387</v>
      </c>
      <c r="T26" s="2"/>
      <c r="U26" s="2" t="s">
        <v>216</v>
      </c>
    </row>
    <row r="27" customFormat="false" ht="15" hidden="false" customHeight="false" outlineLevel="0" collapsed="false">
      <c r="A27" s="2" t="s">
        <v>675</v>
      </c>
      <c r="B27" s="2" t="s">
        <v>283</v>
      </c>
      <c r="C27" s="2" t="s">
        <v>284</v>
      </c>
      <c r="D27" s="2" t="s">
        <v>258</v>
      </c>
      <c r="E27" s="2" t="s">
        <v>285</v>
      </c>
      <c r="F27" s="2" t="s">
        <v>197</v>
      </c>
      <c r="G27" s="2" t="n">
        <v>0</v>
      </c>
      <c r="H27" s="2" t="n">
        <v>16</v>
      </c>
      <c r="I27" s="2" t="n">
        <v>0</v>
      </c>
      <c r="J27" s="35" t="n">
        <v>1</v>
      </c>
      <c r="K27" s="6" t="n">
        <f aca="false">J27*Supuestos!D$5</f>
        <v>60</v>
      </c>
      <c r="L27" s="6" t="n">
        <f aca="false">IF(OR(U27="Resistors",U27="Capacitors"),ROUNDUP(K27*Supuestos!$B$16,0)+Supuestos!$B$17,ROUNDUP(K27*Supuestos!$B$18,0)+Supuestos!$B$19)</f>
        <v>2</v>
      </c>
      <c r="M27" s="6" t="n">
        <f aca="false">K27+L27</f>
        <v>62</v>
      </c>
      <c r="N27" s="33" t="n">
        <v>0.4207</v>
      </c>
      <c r="O27" s="22" t="n">
        <v>3691</v>
      </c>
      <c r="P27" s="6" t="n">
        <f aca="false">SUMIF(BOM_V56!$B:$B,B27,BOM_V56!$M:$M)+SUMIF(BOM_V57!$B:$B,B27,BOM_V57!$M:$M)+SUMIF(BOM_v6!$B:$B,B27,BOM_v6!$M:$M)</f>
        <v>570</v>
      </c>
      <c r="Q27" s="2" t="str">
        <f aca="false">IF(P27&gt;O27,"SÍ","")</f>
        <v/>
      </c>
      <c r="R27" s="38" t="n">
        <f aca="false">N27*(1+IF(Q27="SÍ",Supuestos!$B$14,0))</f>
        <v>0.4207</v>
      </c>
      <c r="S27" s="10" t="n">
        <f aca="false">M27*R27</f>
        <v>26.0834</v>
      </c>
      <c r="T27" s="2"/>
      <c r="U27" s="2" t="s">
        <v>210</v>
      </c>
    </row>
    <row r="28" customFormat="false" ht="15" hidden="false" customHeight="false" outlineLevel="0" collapsed="false">
      <c r="A28" s="2" t="s">
        <v>676</v>
      </c>
      <c r="B28" s="2" t="s">
        <v>677</v>
      </c>
      <c r="C28" s="2" t="s">
        <v>678</v>
      </c>
      <c r="D28" s="2" t="s">
        <v>679</v>
      </c>
      <c r="E28" s="2" t="s">
        <v>680</v>
      </c>
      <c r="F28" s="2" t="s">
        <v>197</v>
      </c>
      <c r="G28" s="2" t="n">
        <v>0</v>
      </c>
      <c r="H28" s="2" t="n">
        <v>18</v>
      </c>
      <c r="I28" s="2" t="n">
        <v>0</v>
      </c>
      <c r="J28" s="35" t="n">
        <v>1</v>
      </c>
      <c r="K28" s="6" t="n">
        <f aca="false">J28*Supuestos!D$5</f>
        <v>60</v>
      </c>
      <c r="L28" s="6" t="n">
        <f aca="false">IF(OR(U28="Resistors",U28="Capacitors"),ROUNDUP(K28*Supuestos!$B$16,0)+Supuestos!$B$17,ROUNDUP(K28*Supuestos!$B$18,0)+Supuestos!$B$19)</f>
        <v>2</v>
      </c>
      <c r="M28" s="6" t="n">
        <f aca="false">K28+L28</f>
        <v>62</v>
      </c>
      <c r="N28" s="33" t="n">
        <v>0.4158</v>
      </c>
      <c r="O28" s="22" t="n">
        <v>11666</v>
      </c>
      <c r="P28" s="6" t="n">
        <f aca="false">SUMIF(BOM_V56!$B:$B,B28,BOM_V56!$M:$M)+SUMIF(BOM_V57!$B:$B,B28,BOM_V57!$M:$M)+SUMIF(BOM_v6!$B:$B,B28,BOM_v6!$M:$M)</f>
        <v>62</v>
      </c>
      <c r="Q28" s="2" t="str">
        <f aca="false">IF(P28&gt;O28,"SÍ","")</f>
        <v/>
      </c>
      <c r="R28" s="38" t="n">
        <f aca="false">N28*(1+IF(Q28="SÍ",Supuestos!$B$14,0))</f>
        <v>0.4158</v>
      </c>
      <c r="S28" s="10" t="n">
        <f aca="false">M28*R28</f>
        <v>25.7796</v>
      </c>
      <c r="T28" s="2"/>
      <c r="U28" s="2" t="s">
        <v>681</v>
      </c>
    </row>
    <row r="29" customFormat="false" ht="15" hidden="false" customHeight="false" outlineLevel="0" collapsed="false">
      <c r="A29" s="2" t="s">
        <v>286</v>
      </c>
      <c r="B29" s="2" t="s">
        <v>287</v>
      </c>
      <c r="C29" s="2" t="s">
        <v>288</v>
      </c>
      <c r="D29" s="2" t="s">
        <v>289</v>
      </c>
      <c r="E29" s="2" t="s">
        <v>290</v>
      </c>
      <c r="F29" s="2" t="s">
        <v>197</v>
      </c>
      <c r="G29" s="2" t="n">
        <v>0</v>
      </c>
      <c r="H29" s="2" t="n">
        <v>8</v>
      </c>
      <c r="I29" s="2" t="n">
        <v>0</v>
      </c>
      <c r="J29" s="35" t="n">
        <v>1</v>
      </c>
      <c r="K29" s="6" t="n">
        <f aca="false">J29*Supuestos!D$5</f>
        <v>60</v>
      </c>
      <c r="L29" s="6" t="n">
        <f aca="false">IF(OR(U29="Resistors",U29="Capacitors"),ROUNDUP(K29*Supuestos!$B$16,0)+Supuestos!$B$17,ROUNDUP(K29*Supuestos!$B$18,0)+Supuestos!$B$19)</f>
        <v>2</v>
      </c>
      <c r="M29" s="6" t="n">
        <f aca="false">K29+L29</f>
        <v>62</v>
      </c>
      <c r="N29" s="33" t="n">
        <v>0.3438</v>
      </c>
      <c r="O29" s="22" t="n">
        <v>0</v>
      </c>
      <c r="P29" s="6" t="n">
        <f aca="false">SUMIF(BOM_V56!$B:$B,B29,BOM_V56!$M:$M)+SUMIF(BOM_V57!$B:$B,B29,BOM_V57!$M:$M)+SUMIF(BOM_v6!$B:$B,B29,BOM_v6!$M:$M)</f>
        <v>570</v>
      </c>
      <c r="Q29" s="2" t="str">
        <f aca="false">IF(P29&gt;O29,"SÍ","")</f>
        <v>SÍ</v>
      </c>
      <c r="R29" s="38" t="n">
        <f aca="false">N29*(1+IF(Q29="SÍ",Supuestos!$B$14,0))</f>
        <v>0.39537</v>
      </c>
      <c r="S29" s="10" t="n">
        <f aca="false">M29*R29</f>
        <v>24.51294</v>
      </c>
      <c r="T29" s="2"/>
      <c r="U29" s="2" t="s">
        <v>291</v>
      </c>
    </row>
    <row r="30" customFormat="false" ht="15" hidden="false" customHeight="false" outlineLevel="0" collapsed="false">
      <c r="A30" s="2" t="s">
        <v>682</v>
      </c>
      <c r="B30" s="2" t="s">
        <v>683</v>
      </c>
      <c r="C30" s="2" t="s">
        <v>684</v>
      </c>
      <c r="D30" s="2" t="s">
        <v>258</v>
      </c>
      <c r="E30" s="2" t="s">
        <v>685</v>
      </c>
      <c r="F30" s="2" t="s">
        <v>197</v>
      </c>
      <c r="G30" s="2" t="n">
        <v>0</v>
      </c>
      <c r="H30" s="2" t="n">
        <v>6</v>
      </c>
      <c r="I30" s="2" t="n">
        <v>0</v>
      </c>
      <c r="J30" s="35" t="n">
        <v>1</v>
      </c>
      <c r="K30" s="6" t="n">
        <f aca="false">J30*Supuestos!D$5</f>
        <v>60</v>
      </c>
      <c r="L30" s="6" t="n">
        <f aca="false">IF(OR(U30="Resistors",U30="Capacitors"),ROUNDUP(K30*Supuestos!$B$16,0)+Supuestos!$B$17,ROUNDUP(K30*Supuestos!$B$18,0)+Supuestos!$B$19)</f>
        <v>2</v>
      </c>
      <c r="M30" s="6" t="n">
        <f aca="false">K30+L30</f>
        <v>62</v>
      </c>
      <c r="N30" s="33" t="n">
        <v>0.3912</v>
      </c>
      <c r="O30" s="22" t="n">
        <v>8491</v>
      </c>
      <c r="P30" s="6" t="n">
        <f aca="false">SUMIF(BOM_V56!$B:$B,B30,BOM_V56!$M:$M)+SUMIF(BOM_V57!$B:$B,B30,BOM_V57!$M:$M)+SUMIF(BOM_v6!$B:$B,B30,BOM_v6!$M:$M)</f>
        <v>62</v>
      </c>
      <c r="Q30" s="2" t="str">
        <f aca="false">IF(P30&gt;O30,"SÍ","")</f>
        <v/>
      </c>
      <c r="R30" s="38" t="n">
        <f aca="false">N30*(1+IF(Q30="SÍ",Supuestos!$B$14,0))</f>
        <v>0.3912</v>
      </c>
      <c r="S30" s="10" t="n">
        <f aca="false">M30*R30</f>
        <v>24.2544</v>
      </c>
      <c r="T30" s="2"/>
      <c r="U30" s="2" t="s">
        <v>216</v>
      </c>
    </row>
    <row r="31" customFormat="false" ht="15" hidden="false" customHeight="false" outlineLevel="0" collapsed="false">
      <c r="A31" s="2" t="s">
        <v>686</v>
      </c>
      <c r="B31" s="2" t="s">
        <v>299</v>
      </c>
      <c r="C31" s="2" t="s">
        <v>300</v>
      </c>
      <c r="D31" s="2" t="s">
        <v>301</v>
      </c>
      <c r="E31" s="39" t="s">
        <v>302</v>
      </c>
      <c r="F31" s="2" t="s">
        <v>197</v>
      </c>
      <c r="G31" s="2" t="n">
        <v>1</v>
      </c>
      <c r="H31" s="2" t="n">
        <v>0</v>
      </c>
      <c r="I31" s="2" t="n">
        <v>5</v>
      </c>
      <c r="J31" s="35" t="n">
        <v>1</v>
      </c>
      <c r="K31" s="6" t="n">
        <f aca="false">J31*Supuestos!D$5</f>
        <v>60</v>
      </c>
      <c r="L31" s="6" t="n">
        <f aca="false">IF(OR(U31="Resistors",U31="Capacitors"),ROUNDUP(K31*Supuestos!$B$16,0)+Supuestos!$B$17,ROUNDUP(K31*Supuestos!$B$18,0)+Supuestos!$B$19)</f>
        <v>2</v>
      </c>
      <c r="M31" s="6" t="n">
        <f aca="false">K31+L31</f>
        <v>62</v>
      </c>
      <c r="N31" s="33" t="n">
        <v>0.3732</v>
      </c>
      <c r="O31" s="22" t="n">
        <v>8013</v>
      </c>
      <c r="P31" s="6" t="n">
        <f aca="false">SUMIF(BOM_V56!$B:$B,B31,BOM_V56!$M:$M)+SUMIF(BOM_V57!$B:$B,B31,BOM_V57!$M:$M)+SUMIF(BOM_v6!$B:$B,B31,BOM_v6!$M:$M)</f>
        <v>570</v>
      </c>
      <c r="Q31" s="2" t="str">
        <f aca="false">IF(P31&gt;O31,"SÍ","")</f>
        <v/>
      </c>
      <c r="R31" s="38" t="n">
        <f aca="false">N31*(1+IF(Q31="SÍ",Supuestos!$B$14,0))</f>
        <v>0.3732</v>
      </c>
      <c r="S31" s="10" t="n">
        <f aca="false">M31*R31</f>
        <v>23.1384</v>
      </c>
      <c r="T31" s="2"/>
      <c r="U31" s="2" t="s">
        <v>254</v>
      </c>
    </row>
    <row r="32" customFormat="false" ht="15" hidden="false" customHeight="false" outlineLevel="0" collapsed="false">
      <c r="A32" s="2" t="s">
        <v>687</v>
      </c>
      <c r="B32" s="2" t="s">
        <v>688</v>
      </c>
      <c r="C32" s="2" t="s">
        <v>689</v>
      </c>
      <c r="D32" s="2" t="s">
        <v>690</v>
      </c>
      <c r="E32" s="2" t="s">
        <v>379</v>
      </c>
      <c r="F32" s="2" t="s">
        <v>197</v>
      </c>
      <c r="G32" s="2" t="n">
        <v>0</v>
      </c>
      <c r="H32" s="2" t="n">
        <v>3</v>
      </c>
      <c r="I32" s="2" t="n">
        <v>0</v>
      </c>
      <c r="J32" s="35" t="n">
        <v>1</v>
      </c>
      <c r="K32" s="6" t="n">
        <f aca="false">J32*Supuestos!D$5</f>
        <v>60</v>
      </c>
      <c r="L32" s="6" t="n">
        <f aca="false">IF(OR(U32="Resistors",U32="Capacitors"),ROUNDUP(K32*Supuestos!$B$16,0)+Supuestos!$B$17,ROUNDUP(K32*Supuestos!$B$18,0)+Supuestos!$B$19)</f>
        <v>2</v>
      </c>
      <c r="M32" s="6" t="n">
        <f aca="false">K32+L32</f>
        <v>62</v>
      </c>
      <c r="N32" s="33" t="n">
        <v>0.3438</v>
      </c>
      <c r="O32" s="22" t="n">
        <v>6095</v>
      </c>
      <c r="P32" s="6" t="n">
        <f aca="false">SUMIF(BOM_V56!$B:$B,B32,BOM_V56!$M:$M)+SUMIF(BOM_V57!$B:$B,B32,BOM_V57!$M:$M)+SUMIF(BOM_v6!$B:$B,B32,BOM_v6!$M:$M)</f>
        <v>62</v>
      </c>
      <c r="Q32" s="2" t="str">
        <f aca="false">IF(P32&gt;O32,"SÍ","")</f>
        <v/>
      </c>
      <c r="R32" s="38" t="n">
        <f aca="false">N32*(1+IF(Q32="SÍ",Supuestos!$B$14,0))</f>
        <v>0.3438</v>
      </c>
      <c r="S32" s="10" t="n">
        <f aca="false">M32*R32</f>
        <v>21.3156</v>
      </c>
      <c r="T32" s="2"/>
      <c r="U32" s="2" t="s">
        <v>370</v>
      </c>
    </row>
    <row r="33" customFormat="false" ht="15" hidden="false" customHeight="false" outlineLevel="0" collapsed="false">
      <c r="A33" s="2" t="s">
        <v>691</v>
      </c>
      <c r="B33" s="2" t="s">
        <v>293</v>
      </c>
      <c r="C33" s="2" t="s">
        <v>294</v>
      </c>
      <c r="D33" s="2" t="s">
        <v>295</v>
      </c>
      <c r="E33" s="2" t="s">
        <v>296</v>
      </c>
      <c r="F33" s="2" t="s">
        <v>197</v>
      </c>
      <c r="G33" s="2" t="n">
        <v>0</v>
      </c>
      <c r="H33" s="2" t="n">
        <v>12</v>
      </c>
      <c r="I33" s="2" t="n">
        <v>0</v>
      </c>
      <c r="J33" s="35" t="n">
        <v>1</v>
      </c>
      <c r="K33" s="6" t="n">
        <f aca="false">J33*Supuestos!D$5</f>
        <v>60</v>
      </c>
      <c r="L33" s="6" t="n">
        <f aca="false">IF(OR(U33="Resistors",U33="Capacitors"),ROUNDUP(K33*Supuestos!$B$16,0)+Supuestos!$B$17,ROUNDUP(K33*Supuestos!$B$18,0)+Supuestos!$B$19)</f>
        <v>2</v>
      </c>
      <c r="M33" s="6" t="n">
        <f aca="false">K33+L33</f>
        <v>62</v>
      </c>
      <c r="N33" s="33" t="n">
        <v>0.2894</v>
      </c>
      <c r="O33" s="22" t="n">
        <v>2</v>
      </c>
      <c r="P33" s="6" t="n">
        <f aca="false">SUMIF(BOM_V56!$B:$B,B33,BOM_V56!$M:$M)+SUMIF(BOM_V57!$B:$B,B33,BOM_V57!$M:$M)+SUMIF(BOM_v6!$B:$B,B33,BOM_v6!$M:$M)</f>
        <v>570</v>
      </c>
      <c r="Q33" s="2" t="str">
        <f aca="false">IF(P33&gt;O33,"SÍ","")</f>
        <v>SÍ</v>
      </c>
      <c r="R33" s="38" t="n">
        <f aca="false">N33*(1+IF(Q33="SÍ",Supuestos!$B$14,0))</f>
        <v>0.33281</v>
      </c>
      <c r="S33" s="10" t="n">
        <f aca="false">M33*R33</f>
        <v>20.63422</v>
      </c>
      <c r="T33" s="2" t="s">
        <v>297</v>
      </c>
      <c r="U33" s="2" t="s">
        <v>260</v>
      </c>
    </row>
    <row r="34" customFormat="false" ht="15" hidden="false" customHeight="false" outlineLevel="0" collapsed="false">
      <c r="A34" s="2" t="s">
        <v>692</v>
      </c>
      <c r="B34" s="2" t="s">
        <v>313</v>
      </c>
      <c r="C34" s="2" t="s">
        <v>314</v>
      </c>
      <c r="D34" s="2" t="s">
        <v>315</v>
      </c>
      <c r="E34" s="2" t="s">
        <v>316</v>
      </c>
      <c r="F34" s="2" t="s">
        <v>238</v>
      </c>
      <c r="G34" s="2" t="n">
        <v>0</v>
      </c>
      <c r="H34" s="2" t="n">
        <v>2</v>
      </c>
      <c r="I34" s="2" t="n">
        <v>0</v>
      </c>
      <c r="J34" s="35" t="n">
        <v>32</v>
      </c>
      <c r="K34" s="6" t="n">
        <f aca="false">J34*Supuestos!D$5</f>
        <v>1920</v>
      </c>
      <c r="L34" s="6" t="n">
        <f aca="false">IF(OR(U34="Resistors",U34="Capacitors"),ROUNDUP(K34*Supuestos!$B$16,0)+Supuestos!$B$17,ROUNDUP(K34*Supuestos!$B$18,0)+Supuestos!$B$19)</f>
        <v>44</v>
      </c>
      <c r="M34" s="6" t="n">
        <f aca="false">K34+L34</f>
        <v>1964</v>
      </c>
      <c r="N34" s="33" t="n">
        <v>0.0095</v>
      </c>
      <c r="O34" s="22" t="n">
        <v>42847894</v>
      </c>
      <c r="P34" s="6" t="n">
        <f aca="false">SUMIF(BOM_V56!$B:$B,B34,BOM_V56!$M:$M)+SUMIF(BOM_V57!$B:$B,B34,BOM_V57!$M:$M)+SUMIF(BOM_v6!$B:$B,B34,BOM_v6!$M:$M)</f>
        <v>16117</v>
      </c>
      <c r="Q34" s="2" t="str">
        <f aca="false">IF(P34&gt;O34,"SÍ","")</f>
        <v/>
      </c>
      <c r="R34" s="38" t="n">
        <f aca="false">N34*(1+IF(Q34="SÍ",Supuestos!$B$14,0))</f>
        <v>0.0095</v>
      </c>
      <c r="S34" s="10" t="n">
        <f aca="false">M34*R34</f>
        <v>18.658</v>
      </c>
      <c r="T34" s="2"/>
      <c r="U34" s="2" t="s">
        <v>239</v>
      </c>
    </row>
    <row r="35" customFormat="false" ht="15" hidden="false" customHeight="false" outlineLevel="0" collapsed="false">
      <c r="A35" s="2" t="s">
        <v>282</v>
      </c>
      <c r="B35" s="2" t="s">
        <v>304</v>
      </c>
      <c r="C35" s="2" t="s">
        <v>305</v>
      </c>
      <c r="D35" s="2" t="s">
        <v>258</v>
      </c>
      <c r="E35" s="2" t="s">
        <v>306</v>
      </c>
      <c r="F35" s="2" t="s">
        <v>197</v>
      </c>
      <c r="G35" s="2" t="n">
        <v>0</v>
      </c>
      <c r="H35" s="2" t="n">
        <v>4</v>
      </c>
      <c r="I35" s="2" t="n">
        <v>0</v>
      </c>
      <c r="J35" s="35" t="n">
        <v>1</v>
      </c>
      <c r="K35" s="6" t="n">
        <f aca="false">J35*Supuestos!D$5</f>
        <v>60</v>
      </c>
      <c r="L35" s="6" t="n">
        <f aca="false">IF(OR(U35="Resistors",U35="Capacitors"),ROUNDUP(K35*Supuestos!$B$16,0)+Supuestos!$B$17,ROUNDUP(K35*Supuestos!$B$18,0)+Supuestos!$B$19)</f>
        <v>2</v>
      </c>
      <c r="M35" s="6" t="n">
        <f aca="false">K35+L35</f>
        <v>62</v>
      </c>
      <c r="N35" s="33" t="n">
        <v>0.2914</v>
      </c>
      <c r="O35" s="22" t="n">
        <v>23654</v>
      </c>
      <c r="P35" s="6" t="n">
        <f aca="false">SUMIF(BOM_V56!$B:$B,B35,BOM_V56!$M:$M)+SUMIF(BOM_V57!$B:$B,B35,BOM_V57!$M:$M)+SUMIF(BOM_v6!$B:$B,B35,BOM_v6!$M:$M)</f>
        <v>570</v>
      </c>
      <c r="Q35" s="2" t="str">
        <f aca="false">IF(P35&gt;O35,"SÍ","")</f>
        <v/>
      </c>
      <c r="R35" s="38" t="n">
        <f aca="false">N35*(1+IF(Q35="SÍ",Supuestos!$B$14,0))</f>
        <v>0.2914</v>
      </c>
      <c r="S35" s="10" t="n">
        <f aca="false">M35*R35</f>
        <v>18.0668</v>
      </c>
      <c r="T35" s="2"/>
      <c r="U35" s="2" t="s">
        <v>216</v>
      </c>
    </row>
    <row r="36" customFormat="false" ht="15" hidden="false" customHeight="false" outlineLevel="0" collapsed="false">
      <c r="A36" s="2" t="s">
        <v>693</v>
      </c>
      <c r="B36" s="2" t="s">
        <v>321</v>
      </c>
      <c r="C36" s="2" t="s">
        <v>322</v>
      </c>
      <c r="D36" s="2" t="s">
        <v>323</v>
      </c>
      <c r="E36" s="39" t="s">
        <v>324</v>
      </c>
      <c r="F36" s="2" t="s">
        <v>197</v>
      </c>
      <c r="G36" s="2" t="n">
        <v>1</v>
      </c>
      <c r="H36" s="2" t="n">
        <v>0</v>
      </c>
      <c r="I36" s="2" t="n">
        <v>3</v>
      </c>
      <c r="J36" s="35" t="n">
        <v>2</v>
      </c>
      <c r="K36" s="6" t="n">
        <f aca="false">J36*Supuestos!D$5</f>
        <v>120</v>
      </c>
      <c r="L36" s="6" t="n">
        <f aca="false">IF(OR(U36="Resistors",U36="Capacitors"),ROUNDUP(K36*Supuestos!$B$16,0)+Supuestos!$B$17,ROUNDUP(K36*Supuestos!$B$18,0)+Supuestos!$B$19)</f>
        <v>3</v>
      </c>
      <c r="M36" s="6" t="n">
        <f aca="false">K36+L36</f>
        <v>123</v>
      </c>
      <c r="N36" s="33" t="n">
        <v>0.1451</v>
      </c>
      <c r="O36" s="22" t="n">
        <v>3728</v>
      </c>
      <c r="P36" s="6" t="n">
        <f aca="false">SUMIF(BOM_V56!$B:$B,B36,BOM_V56!$M:$M)+SUMIF(BOM_V57!$B:$B,B36,BOM_V57!$M:$M)+SUMIF(BOM_v6!$B:$B,B36,BOM_v6!$M:$M)</f>
        <v>1136</v>
      </c>
      <c r="Q36" s="2" t="str">
        <f aca="false">IF(P36&gt;O36,"SÍ","")</f>
        <v/>
      </c>
      <c r="R36" s="38" t="n">
        <f aca="false">N36*(1+IF(Q36="SÍ",Supuestos!$B$14,0))</f>
        <v>0.1451</v>
      </c>
      <c r="S36" s="10" t="n">
        <f aca="false">M36*R36</f>
        <v>17.8473</v>
      </c>
      <c r="T36" s="2"/>
      <c r="U36" s="2" t="s">
        <v>254</v>
      </c>
    </row>
    <row r="37" customFormat="false" ht="15" hidden="false" customHeight="false" outlineLevel="0" collapsed="false">
      <c r="A37" s="2" t="s">
        <v>694</v>
      </c>
      <c r="B37" s="2" t="s">
        <v>335</v>
      </c>
      <c r="C37" s="2" t="s">
        <v>336</v>
      </c>
      <c r="D37" s="2" t="s">
        <v>337</v>
      </c>
      <c r="E37" s="2" t="s">
        <v>338</v>
      </c>
      <c r="F37" s="2" t="s">
        <v>197</v>
      </c>
      <c r="G37" s="2" t="n">
        <v>0</v>
      </c>
      <c r="H37" s="2" t="n">
        <v>3</v>
      </c>
      <c r="I37" s="2" t="n">
        <v>0</v>
      </c>
      <c r="J37" s="35" t="n">
        <v>1</v>
      </c>
      <c r="K37" s="6" t="n">
        <f aca="false">J37*Supuestos!D$5</f>
        <v>60</v>
      </c>
      <c r="L37" s="6" t="n">
        <f aca="false">IF(OR(U37="Resistors",U37="Capacitors"),ROUNDUP(K37*Supuestos!$B$16,0)+Supuestos!$B$17,ROUNDUP(K37*Supuestos!$B$18,0)+Supuestos!$B$19)</f>
        <v>2</v>
      </c>
      <c r="M37" s="6" t="n">
        <f aca="false">K37+L37</f>
        <v>62</v>
      </c>
      <c r="N37" s="33" t="n">
        <v>0.2636</v>
      </c>
      <c r="O37" s="22" t="n">
        <v>20437</v>
      </c>
      <c r="P37" s="6" t="n">
        <f aca="false">SUMIF(BOM_V56!$B:$B,B37,BOM_V56!$M:$M)+SUMIF(BOM_V57!$B:$B,B37,BOM_V57!$M:$M)+SUMIF(BOM_v6!$B:$B,B37,BOM_v6!$M:$M)</f>
        <v>570</v>
      </c>
      <c r="Q37" s="2" t="str">
        <f aca="false">IF(P37&gt;O37,"SÍ","")</f>
        <v/>
      </c>
      <c r="R37" s="38" t="n">
        <f aca="false">N37*(1+IF(Q37="SÍ",Supuestos!$B$14,0))</f>
        <v>0.2636</v>
      </c>
      <c r="S37" s="10" t="n">
        <f aca="false">M37*R37</f>
        <v>16.3432</v>
      </c>
      <c r="T37" s="2"/>
      <c r="U37" s="2" t="s">
        <v>291</v>
      </c>
    </row>
    <row r="38" customFormat="false" ht="15" hidden="false" customHeight="false" outlineLevel="0" collapsed="false">
      <c r="A38" s="2" t="s">
        <v>602</v>
      </c>
      <c r="B38" s="2" t="s">
        <v>318</v>
      </c>
      <c r="C38" s="2" t="s">
        <v>319</v>
      </c>
      <c r="D38" s="2" t="s">
        <v>279</v>
      </c>
      <c r="E38" s="2" t="s">
        <v>280</v>
      </c>
      <c r="F38" s="2" t="s">
        <v>197</v>
      </c>
      <c r="G38" s="2" t="n">
        <v>0</v>
      </c>
      <c r="H38" s="2" t="n">
        <v>2</v>
      </c>
      <c r="I38" s="2" t="n">
        <v>0</v>
      </c>
      <c r="J38" s="35" t="n">
        <v>1</v>
      </c>
      <c r="K38" s="6" t="n">
        <f aca="false">J38*Supuestos!D$5</f>
        <v>60</v>
      </c>
      <c r="L38" s="6" t="n">
        <f aca="false">IF(OR(U38="Resistors",U38="Capacitors"),ROUNDUP(K38*Supuestos!$B$16,0)+Supuestos!$B$17,ROUNDUP(K38*Supuestos!$B$18,0)+Supuestos!$B$19)</f>
        <v>2</v>
      </c>
      <c r="M38" s="6" t="n">
        <f aca="false">K38+L38</f>
        <v>62</v>
      </c>
      <c r="N38" s="33" t="n">
        <v>0.2215</v>
      </c>
      <c r="O38" s="22" t="n">
        <v>0</v>
      </c>
      <c r="P38" s="6" t="n">
        <f aca="false">SUMIF(BOM_V56!$B:$B,B38,BOM_V56!$M:$M)+SUMIF(BOM_V57!$B:$B,B38,BOM_V57!$M:$M)+SUMIF(BOM_v6!$B:$B,B38,BOM_v6!$M:$M)</f>
        <v>570</v>
      </c>
      <c r="Q38" s="2" t="str">
        <f aca="false">IF(P38&gt;O38,"SÍ","")</f>
        <v>SÍ</v>
      </c>
      <c r="R38" s="38" t="n">
        <f aca="false">N38*(1+IF(Q38="SÍ",Supuestos!$B$14,0))</f>
        <v>0.254725</v>
      </c>
      <c r="S38" s="10" t="n">
        <f aca="false">M38*R38</f>
        <v>15.79295</v>
      </c>
      <c r="T38" s="2"/>
      <c r="U38" s="2" t="s">
        <v>281</v>
      </c>
    </row>
    <row r="39" customFormat="false" ht="15" hidden="false" customHeight="false" outlineLevel="0" collapsed="false">
      <c r="A39" s="2" t="s">
        <v>695</v>
      </c>
      <c r="B39" s="2" t="s">
        <v>410</v>
      </c>
      <c r="C39" s="2" t="s">
        <v>411</v>
      </c>
      <c r="D39" s="2" t="s">
        <v>412</v>
      </c>
      <c r="E39" s="2" t="s">
        <v>413</v>
      </c>
      <c r="F39" s="2" t="s">
        <v>197</v>
      </c>
      <c r="G39" s="2" t="n">
        <v>0</v>
      </c>
      <c r="H39" s="2" t="n">
        <v>2</v>
      </c>
      <c r="I39" s="2" t="n">
        <v>0</v>
      </c>
      <c r="J39" s="35" t="n">
        <v>9</v>
      </c>
      <c r="K39" s="6" t="n">
        <f aca="false">J39*Supuestos!D$5</f>
        <v>540</v>
      </c>
      <c r="L39" s="6" t="n">
        <f aca="false">IF(OR(U39="Resistors",U39="Capacitors"),ROUNDUP(K39*Supuestos!$B$16,0)+Supuestos!$B$17,ROUNDUP(K39*Supuestos!$B$18,0)+Supuestos!$B$19)</f>
        <v>7</v>
      </c>
      <c r="M39" s="6" t="n">
        <f aca="false">K39+L39</f>
        <v>547</v>
      </c>
      <c r="N39" s="33" t="n">
        <v>0.0269</v>
      </c>
      <c r="O39" s="22" t="n">
        <v>508870</v>
      </c>
      <c r="P39" s="6" t="n">
        <f aca="false">SUMIF(BOM_V56!$B:$B,B39,BOM_V56!$M:$M)+SUMIF(BOM_V57!$B:$B,B39,BOM_V57!$M:$M)+SUMIF(BOM_v6!$B:$B,B39,BOM_v6!$M:$M)</f>
        <v>2065</v>
      </c>
      <c r="Q39" s="2" t="str">
        <f aca="false">IF(P39&gt;O39,"SÍ","")</f>
        <v/>
      </c>
      <c r="R39" s="38" t="n">
        <f aca="false">N39*(1+IF(Q39="SÍ",Supuestos!$B$14,0))</f>
        <v>0.0269</v>
      </c>
      <c r="S39" s="10" t="n">
        <f aca="false">M39*R39</f>
        <v>14.7143</v>
      </c>
      <c r="T39" s="2"/>
      <c r="U39" s="2" t="s">
        <v>370</v>
      </c>
    </row>
    <row r="40" customFormat="false" ht="15" hidden="false" customHeight="false" outlineLevel="0" collapsed="false">
      <c r="A40" s="2" t="s">
        <v>696</v>
      </c>
      <c r="B40" s="2" t="s">
        <v>697</v>
      </c>
      <c r="C40" s="2" t="s">
        <v>698</v>
      </c>
      <c r="D40" s="2" t="s">
        <v>699</v>
      </c>
      <c r="E40" s="2" t="s">
        <v>700</v>
      </c>
      <c r="F40" s="2" t="s">
        <v>197</v>
      </c>
      <c r="G40" s="2" t="n">
        <v>0</v>
      </c>
      <c r="H40" s="2" t="n">
        <v>2</v>
      </c>
      <c r="I40" s="2" t="n">
        <v>0</v>
      </c>
      <c r="J40" s="35" t="n">
        <v>1</v>
      </c>
      <c r="K40" s="6" t="n">
        <f aca="false">J40*Supuestos!D$5</f>
        <v>60</v>
      </c>
      <c r="L40" s="6" t="n">
        <f aca="false">IF(OR(U40="Resistors",U40="Capacitors"),ROUNDUP(K40*Supuestos!$B$16,0)+Supuestos!$B$17,ROUNDUP(K40*Supuestos!$B$18,0)+Supuestos!$B$19)</f>
        <v>7</v>
      </c>
      <c r="M40" s="6" t="n">
        <f aca="false">K40+L40</f>
        <v>67</v>
      </c>
      <c r="N40" s="33" t="n">
        <v>0.2398</v>
      </c>
      <c r="O40" s="22" t="n">
        <v>139674</v>
      </c>
      <c r="P40" s="6" t="n">
        <f aca="false">SUMIF(BOM_V56!$B:$B,B40,BOM_V56!$M:$M)+SUMIF(BOM_V57!$B:$B,B40,BOM_V57!$M:$M)+SUMIF(BOM_v6!$B:$B,B40,BOM_v6!$M:$M)</f>
        <v>67</v>
      </c>
      <c r="Q40" s="2" t="str">
        <f aca="false">IF(P40&gt;O40,"SÍ","")</f>
        <v/>
      </c>
      <c r="R40" s="38" t="n">
        <f aca="false">N40*(1+IF(Q40="SÍ",Supuestos!$B$14,0))</f>
        <v>0.2398</v>
      </c>
      <c r="S40" s="10" t="n">
        <f aca="false">M40*R40</f>
        <v>16.0666</v>
      </c>
      <c r="T40" s="2"/>
      <c r="U40" s="2" t="s">
        <v>239</v>
      </c>
    </row>
    <row r="41" customFormat="false" ht="15" hidden="false" customHeight="false" outlineLevel="0" collapsed="false">
      <c r="A41" s="2" t="s">
        <v>591</v>
      </c>
      <c r="B41" s="2" t="s">
        <v>326</v>
      </c>
      <c r="C41" s="2" t="s">
        <v>327</v>
      </c>
      <c r="D41" s="2" t="s">
        <v>279</v>
      </c>
      <c r="E41" s="2" t="s">
        <v>280</v>
      </c>
      <c r="F41" s="2" t="s">
        <v>197</v>
      </c>
      <c r="G41" s="2" t="n">
        <v>0</v>
      </c>
      <c r="H41" s="2" t="n">
        <v>2</v>
      </c>
      <c r="I41" s="2" t="n">
        <v>0</v>
      </c>
      <c r="J41" s="35" t="n">
        <v>1</v>
      </c>
      <c r="K41" s="6" t="n">
        <f aca="false">J41*Supuestos!D$5</f>
        <v>60</v>
      </c>
      <c r="L41" s="6" t="n">
        <f aca="false">IF(OR(U41="Resistors",U41="Capacitors"),ROUNDUP(K41*Supuestos!$B$16,0)+Supuestos!$B$17,ROUNDUP(K41*Supuestos!$B$18,0)+Supuestos!$B$19)</f>
        <v>2</v>
      </c>
      <c r="M41" s="6" t="n">
        <f aca="false">K41+L41</f>
        <v>62</v>
      </c>
      <c r="N41" s="33" t="n">
        <v>0.203</v>
      </c>
      <c r="O41" s="22" t="n">
        <v>171</v>
      </c>
      <c r="P41" s="6" t="n">
        <f aca="false">SUMIF(BOM_V56!$B:$B,B41,BOM_V56!$M:$M)+SUMIF(BOM_V57!$B:$B,B41,BOM_V57!$M:$M)+SUMIF(BOM_v6!$B:$B,B41,BOM_v6!$M:$M)</f>
        <v>570</v>
      </c>
      <c r="Q41" s="2" t="str">
        <f aca="false">IF(P41&gt;O41,"SÍ","")</f>
        <v>SÍ</v>
      </c>
      <c r="R41" s="38" t="n">
        <f aca="false">N41*(1+IF(Q41="SÍ",Supuestos!$B$14,0))</f>
        <v>0.23345</v>
      </c>
      <c r="S41" s="10" t="n">
        <f aca="false">M41*R41</f>
        <v>14.4739</v>
      </c>
      <c r="T41" s="2"/>
      <c r="U41" s="2" t="s">
        <v>281</v>
      </c>
    </row>
    <row r="42" customFormat="false" ht="15" hidden="false" customHeight="false" outlineLevel="0" collapsed="false">
      <c r="A42" s="2" t="s">
        <v>701</v>
      </c>
      <c r="B42" s="2" t="s">
        <v>356</v>
      </c>
      <c r="C42" s="2" t="s">
        <v>357</v>
      </c>
      <c r="D42" s="2" t="s">
        <v>358</v>
      </c>
      <c r="E42" s="39" t="s">
        <v>359</v>
      </c>
      <c r="F42" s="2" t="s">
        <v>197</v>
      </c>
      <c r="G42" s="2" t="n">
        <v>1</v>
      </c>
      <c r="H42" s="2" t="n">
        <v>0</v>
      </c>
      <c r="I42" s="2" t="n">
        <v>2</v>
      </c>
      <c r="J42" s="35" t="n">
        <v>7</v>
      </c>
      <c r="K42" s="6" t="n">
        <f aca="false">J42*Supuestos!D$5</f>
        <v>420</v>
      </c>
      <c r="L42" s="6" t="n">
        <f aca="false">IF(OR(U42="Resistors",U42="Capacitors"),ROUNDUP(K42*Supuestos!$B$16,0)+Supuestos!$B$17,ROUNDUP(K42*Supuestos!$B$18,0)+Supuestos!$B$19)</f>
        <v>6</v>
      </c>
      <c r="M42" s="6" t="n">
        <f aca="false">K42+L42</f>
        <v>426</v>
      </c>
      <c r="N42" s="33" t="n">
        <v>0.0321</v>
      </c>
      <c r="O42" s="22" t="n">
        <v>419147</v>
      </c>
      <c r="P42" s="6" t="n">
        <f aca="false">SUMIF(BOM_V56!$B:$B,B42,BOM_V56!$M:$M)+SUMIF(BOM_V57!$B:$B,B42,BOM_V57!$M:$M)+SUMIF(BOM_v6!$B:$B,B42,BOM_v6!$M:$M)</f>
        <v>2585</v>
      </c>
      <c r="Q42" s="2" t="str">
        <f aca="false">IF(P42&gt;O42,"SÍ","")</f>
        <v/>
      </c>
      <c r="R42" s="38" t="n">
        <f aca="false">N42*(1+IF(Q42="SÍ",Supuestos!$B$14,0))</f>
        <v>0.0321</v>
      </c>
      <c r="S42" s="10" t="n">
        <f aca="false">M42*R42</f>
        <v>13.6746</v>
      </c>
      <c r="T42" s="2"/>
      <c r="U42" s="2" t="s">
        <v>254</v>
      </c>
    </row>
    <row r="43" customFormat="false" ht="15" hidden="false" customHeight="false" outlineLevel="0" collapsed="false">
      <c r="A43" s="2" t="s">
        <v>317</v>
      </c>
      <c r="B43" s="2" t="s">
        <v>277</v>
      </c>
      <c r="C43" s="2" t="s">
        <v>278</v>
      </c>
      <c r="D43" s="2" t="s">
        <v>279</v>
      </c>
      <c r="E43" s="2" t="s">
        <v>280</v>
      </c>
      <c r="F43" s="2" t="s">
        <v>197</v>
      </c>
      <c r="G43" s="2" t="n">
        <v>0</v>
      </c>
      <c r="H43" s="2" t="n">
        <v>2</v>
      </c>
      <c r="I43" s="2" t="n">
        <v>0</v>
      </c>
      <c r="J43" s="35" t="n">
        <v>1</v>
      </c>
      <c r="K43" s="6" t="n">
        <f aca="false">J43*Supuestos!D$5</f>
        <v>60</v>
      </c>
      <c r="L43" s="6" t="n">
        <f aca="false">IF(OR(U43="Resistors",U43="Capacitors"),ROUNDUP(K43*Supuestos!$B$16,0)+Supuestos!$B$17,ROUNDUP(K43*Supuestos!$B$18,0)+Supuestos!$B$19)</f>
        <v>2</v>
      </c>
      <c r="M43" s="6" t="n">
        <f aca="false">K43+L43</f>
        <v>62</v>
      </c>
      <c r="N43" s="33" t="n">
        <v>0.2235</v>
      </c>
      <c r="O43" s="22" t="n">
        <v>4457</v>
      </c>
      <c r="P43" s="6" t="n">
        <f aca="false">SUMIF(BOM_V56!$B:$B,B43,BOM_V56!$M:$M)+SUMIF(BOM_V57!$B:$B,B43,BOM_V57!$M:$M)+SUMIF(BOM_v6!$B:$B,B43,BOM_v6!$M:$M)</f>
        <v>706</v>
      </c>
      <c r="Q43" s="2" t="str">
        <f aca="false">IF(P43&gt;O43,"SÍ","")</f>
        <v/>
      </c>
      <c r="R43" s="38" t="n">
        <f aca="false">N43*(1+IF(Q43="SÍ",Supuestos!$B$14,0))</f>
        <v>0.2235</v>
      </c>
      <c r="S43" s="10" t="n">
        <f aca="false">M43*R43</f>
        <v>13.857</v>
      </c>
      <c r="T43" s="2"/>
      <c r="U43" s="2" t="s">
        <v>281</v>
      </c>
    </row>
    <row r="44" customFormat="false" ht="15" hidden="false" customHeight="false" outlineLevel="0" collapsed="false">
      <c r="A44" s="2" t="s">
        <v>702</v>
      </c>
      <c r="B44" s="2" t="s">
        <v>703</v>
      </c>
      <c r="C44" s="2" t="s">
        <v>704</v>
      </c>
      <c r="D44" s="2" t="s">
        <v>389</v>
      </c>
      <c r="E44" s="2" t="s">
        <v>390</v>
      </c>
      <c r="F44" s="2" t="s">
        <v>197</v>
      </c>
      <c r="G44" s="2" t="n">
        <v>0</v>
      </c>
      <c r="H44" s="2" t="n">
        <v>2</v>
      </c>
      <c r="I44" s="2" t="n">
        <v>0</v>
      </c>
      <c r="J44" s="35" t="n">
        <v>2</v>
      </c>
      <c r="K44" s="6" t="n">
        <f aca="false">J44*Supuestos!D$5</f>
        <v>120</v>
      </c>
      <c r="L44" s="6" t="n">
        <f aca="false">IF(OR(U44="Resistors",U44="Capacitors"),ROUNDUP(K44*Supuestos!$B$16,0)+Supuestos!$B$17,ROUNDUP(K44*Supuestos!$B$18,0)+Supuestos!$B$19)</f>
        <v>3</v>
      </c>
      <c r="M44" s="6" t="n">
        <f aca="false">K44+L44</f>
        <v>123</v>
      </c>
      <c r="N44" s="33" t="n">
        <v>0.0999</v>
      </c>
      <c r="O44" s="22" t="n">
        <v>13231</v>
      </c>
      <c r="P44" s="6" t="n">
        <f aca="false">SUMIF(BOM_V56!$B:$B,B44,BOM_V56!$M:$M)+SUMIF(BOM_V57!$B:$B,B44,BOM_V57!$M:$M)+SUMIF(BOM_v6!$B:$B,B44,BOM_v6!$M:$M)</f>
        <v>123</v>
      </c>
      <c r="Q44" s="2" t="str">
        <f aca="false">IF(P44&gt;O44,"SÍ","")</f>
        <v/>
      </c>
      <c r="R44" s="38" t="n">
        <f aca="false">N44*(1+IF(Q44="SÍ",Supuestos!$B$14,0))</f>
        <v>0.0999</v>
      </c>
      <c r="S44" s="10" t="n">
        <f aca="false">M44*R44</f>
        <v>12.2877</v>
      </c>
      <c r="T44" s="2"/>
      <c r="U44" s="2" t="s">
        <v>370</v>
      </c>
    </row>
    <row r="45" customFormat="false" ht="15" hidden="false" customHeight="false" outlineLevel="0" collapsed="false">
      <c r="A45" s="2" t="s">
        <v>705</v>
      </c>
      <c r="B45" s="2" t="s">
        <v>706</v>
      </c>
      <c r="C45" s="2" t="s">
        <v>707</v>
      </c>
      <c r="D45" s="2" t="s">
        <v>708</v>
      </c>
      <c r="E45" s="2" t="s">
        <v>680</v>
      </c>
      <c r="F45" s="2" t="s">
        <v>197</v>
      </c>
      <c r="G45" s="2" t="n">
        <v>0</v>
      </c>
      <c r="H45" s="2" t="n">
        <v>3</v>
      </c>
      <c r="I45" s="2" t="n">
        <v>0</v>
      </c>
      <c r="J45" s="35" t="n">
        <v>2</v>
      </c>
      <c r="K45" s="6" t="n">
        <f aca="false">J45*Supuestos!D$5</f>
        <v>120</v>
      </c>
      <c r="L45" s="6" t="n">
        <f aca="false">IF(OR(U45="Resistors",U45="Capacitors"),ROUNDUP(K45*Supuestos!$B$16,0)+Supuestos!$B$17,ROUNDUP(K45*Supuestos!$B$18,0)+Supuestos!$B$19)</f>
        <v>3</v>
      </c>
      <c r="M45" s="6" t="n">
        <f aca="false">K45+L45</f>
        <v>123</v>
      </c>
      <c r="N45" s="33" t="n">
        <v>0.0966</v>
      </c>
      <c r="O45" s="22" t="n">
        <v>118821</v>
      </c>
      <c r="P45" s="6" t="n">
        <f aca="false">SUMIF(BOM_V56!$B:$B,B45,BOM_V56!$M:$M)+SUMIF(BOM_V57!$B:$B,B45,BOM_V57!$M:$M)+SUMIF(BOM_v6!$B:$B,B45,BOM_v6!$M:$M)</f>
        <v>123</v>
      </c>
      <c r="Q45" s="2" t="str">
        <f aca="false">IF(P45&gt;O45,"SÍ","")</f>
        <v/>
      </c>
      <c r="R45" s="38" t="n">
        <f aca="false">N45*(1+IF(Q45="SÍ",Supuestos!$B$14,0))</f>
        <v>0.0966</v>
      </c>
      <c r="S45" s="10" t="n">
        <f aca="false">M45*R45</f>
        <v>11.8818</v>
      </c>
      <c r="T45" s="2"/>
      <c r="U45" s="2" t="s">
        <v>254</v>
      </c>
    </row>
    <row r="46" customFormat="false" ht="15" hidden="false" customHeight="false" outlineLevel="0" collapsed="false">
      <c r="A46" s="2" t="s">
        <v>709</v>
      </c>
      <c r="B46" s="2" t="s">
        <v>710</v>
      </c>
      <c r="C46" s="2" t="s">
        <v>711</v>
      </c>
      <c r="D46" s="2" t="s">
        <v>258</v>
      </c>
      <c r="E46" s="2" t="s">
        <v>712</v>
      </c>
      <c r="F46" s="2" t="s">
        <v>197</v>
      </c>
      <c r="G46" s="2" t="n">
        <v>0</v>
      </c>
      <c r="H46" s="2" t="n">
        <v>5</v>
      </c>
      <c r="I46" s="2" t="n">
        <v>0</v>
      </c>
      <c r="J46" s="35" t="n">
        <v>1</v>
      </c>
      <c r="K46" s="6" t="n">
        <f aca="false">J46*Supuestos!D$5</f>
        <v>60</v>
      </c>
      <c r="L46" s="6" t="n">
        <f aca="false">IF(OR(U46="Resistors",U46="Capacitors"),ROUNDUP(K46*Supuestos!$B$16,0)+Supuestos!$B$17,ROUNDUP(K46*Supuestos!$B$18,0)+Supuestos!$B$19)</f>
        <v>2</v>
      </c>
      <c r="M46" s="6" t="n">
        <f aca="false">K46+L46</f>
        <v>62</v>
      </c>
      <c r="N46" s="33" t="n">
        <v>0.1596</v>
      </c>
      <c r="O46" s="22" t="n">
        <v>151162</v>
      </c>
      <c r="P46" s="6" t="n">
        <f aca="false">SUMIF(BOM_V56!$B:$B,B46,BOM_V56!$M:$M)+SUMIF(BOM_V57!$B:$B,B46,BOM_V57!$M:$M)+SUMIF(BOM_v6!$B:$B,B46,BOM_v6!$M:$M)</f>
        <v>62</v>
      </c>
      <c r="Q46" s="2" t="str">
        <f aca="false">IF(P46&gt;O46,"SÍ","")</f>
        <v/>
      </c>
      <c r="R46" s="38" t="n">
        <f aca="false">N46*(1+IF(Q46="SÍ",Supuestos!$B$14,0))</f>
        <v>0.1596</v>
      </c>
      <c r="S46" s="10" t="n">
        <f aca="false">M46*R46</f>
        <v>9.8952</v>
      </c>
      <c r="T46" s="2"/>
      <c r="U46" s="2" t="s">
        <v>210</v>
      </c>
    </row>
    <row r="47" customFormat="false" ht="15" hidden="false" customHeight="false" outlineLevel="0" collapsed="false">
      <c r="A47" s="2" t="s">
        <v>406</v>
      </c>
      <c r="B47" s="2" t="s">
        <v>713</v>
      </c>
      <c r="C47" s="2" t="s">
        <v>714</v>
      </c>
      <c r="D47" s="2" t="s">
        <v>374</v>
      </c>
      <c r="E47" s="2" t="s">
        <v>375</v>
      </c>
      <c r="F47" s="2" t="s">
        <v>197</v>
      </c>
      <c r="G47" s="2" t="n">
        <v>0</v>
      </c>
      <c r="H47" s="2" t="n">
        <v>2</v>
      </c>
      <c r="I47" s="2" t="n">
        <v>0</v>
      </c>
      <c r="J47" s="35" t="n">
        <v>1</v>
      </c>
      <c r="K47" s="6" t="n">
        <f aca="false">J47*Supuestos!D$5</f>
        <v>60</v>
      </c>
      <c r="L47" s="6" t="n">
        <f aca="false">IF(OR(U47="Resistors",U47="Capacitors"),ROUNDUP(K47*Supuestos!$B$16,0)+Supuestos!$B$17,ROUNDUP(K47*Supuestos!$B$18,0)+Supuestos!$B$19)</f>
        <v>2</v>
      </c>
      <c r="M47" s="6" t="n">
        <f aca="false">K47+L47</f>
        <v>62</v>
      </c>
      <c r="N47" s="33" t="n">
        <v>0.1557</v>
      </c>
      <c r="O47" s="22" t="n">
        <v>18155</v>
      </c>
      <c r="P47" s="6" t="n">
        <f aca="false">SUMIF(BOM_V56!$B:$B,B47,BOM_V56!$M:$M)+SUMIF(BOM_V57!$B:$B,B47,BOM_V57!$M:$M)+SUMIF(BOM_v6!$B:$B,B47,BOM_v6!$M:$M)</f>
        <v>62</v>
      </c>
      <c r="Q47" s="2" t="str">
        <f aca="false">IF(P47&gt;O47,"SÍ","")</f>
        <v/>
      </c>
      <c r="R47" s="38" t="n">
        <f aca="false">N47*(1+IF(Q47="SÍ",Supuestos!$B$14,0))</f>
        <v>0.1557</v>
      </c>
      <c r="S47" s="10" t="n">
        <f aca="false">M47*R47</f>
        <v>9.6534</v>
      </c>
      <c r="T47" s="2"/>
      <c r="U47" s="2" t="s">
        <v>365</v>
      </c>
    </row>
    <row r="48" customFormat="false" ht="15" hidden="false" customHeight="false" outlineLevel="0" collapsed="false">
      <c r="A48" s="2" t="s">
        <v>715</v>
      </c>
      <c r="B48" s="2" t="s">
        <v>608</v>
      </c>
      <c r="C48" s="2" t="s">
        <v>609</v>
      </c>
      <c r="D48" s="2" t="s">
        <v>231</v>
      </c>
      <c r="E48" s="2" t="s">
        <v>610</v>
      </c>
      <c r="F48" s="2" t="s">
        <v>197</v>
      </c>
      <c r="G48" s="2" t="n">
        <v>0</v>
      </c>
      <c r="H48" s="2" t="n">
        <v>2</v>
      </c>
      <c r="I48" s="2" t="n">
        <v>0</v>
      </c>
      <c r="J48" s="35" t="n">
        <v>1</v>
      </c>
      <c r="K48" s="6" t="n">
        <f aca="false">J48*Supuestos!D$5</f>
        <v>60</v>
      </c>
      <c r="L48" s="6" t="n">
        <f aca="false">IF(OR(U48="Resistors",U48="Capacitors"),ROUNDUP(K48*Supuestos!$B$16,0)+Supuestos!$B$17,ROUNDUP(K48*Supuestos!$B$18,0)+Supuestos!$B$19)</f>
        <v>2</v>
      </c>
      <c r="M48" s="6" t="n">
        <f aca="false">K48+L48</f>
        <v>62</v>
      </c>
      <c r="N48" s="33" t="n">
        <v>0.1475</v>
      </c>
      <c r="O48" s="22" t="n">
        <v>134268</v>
      </c>
      <c r="P48" s="6" t="n">
        <f aca="false">SUMIF(BOM_V56!$B:$B,B48,BOM_V56!$M:$M)+SUMIF(BOM_V57!$B:$B,B48,BOM_V57!$M:$M)+SUMIF(BOM_v6!$B:$B,B48,BOM_v6!$M:$M)</f>
        <v>432</v>
      </c>
      <c r="Q48" s="2" t="str">
        <f aca="false">IF(P48&gt;O48,"SÍ","")</f>
        <v/>
      </c>
      <c r="R48" s="38" t="n">
        <f aca="false">N48*(1+IF(Q48="SÍ",Supuestos!$B$14,0))</f>
        <v>0.1475</v>
      </c>
      <c r="S48" s="10" t="n">
        <f aca="false">M48*R48</f>
        <v>9.145</v>
      </c>
      <c r="T48" s="2"/>
      <c r="U48" s="2" t="s">
        <v>385</v>
      </c>
    </row>
    <row r="49" customFormat="false" ht="15" hidden="false" customHeight="false" outlineLevel="0" collapsed="false">
      <c r="A49" s="2" t="s">
        <v>716</v>
      </c>
      <c r="B49" s="2" t="s">
        <v>377</v>
      </c>
      <c r="C49" s="2" t="s">
        <v>378</v>
      </c>
      <c r="D49" s="2" t="s">
        <v>289</v>
      </c>
      <c r="E49" s="2" t="s">
        <v>379</v>
      </c>
      <c r="F49" s="2" t="s">
        <v>238</v>
      </c>
      <c r="G49" s="2" t="n">
        <v>0</v>
      </c>
      <c r="H49" s="2" t="n">
        <v>3</v>
      </c>
      <c r="I49" s="2" t="n">
        <v>0</v>
      </c>
      <c r="J49" s="35" t="n">
        <v>2</v>
      </c>
      <c r="K49" s="6" t="n">
        <f aca="false">J49*Supuestos!D$5</f>
        <v>120</v>
      </c>
      <c r="L49" s="6" t="n">
        <f aca="false">IF(OR(U49="Resistors",U49="Capacitors"),ROUNDUP(K49*Supuestos!$B$16,0)+Supuestos!$B$17,ROUNDUP(K49*Supuestos!$B$18,0)+Supuestos!$B$19)</f>
        <v>3</v>
      </c>
      <c r="M49" s="6" t="n">
        <f aca="false">K49+L49</f>
        <v>123</v>
      </c>
      <c r="N49" s="33" t="n">
        <v>0.0717</v>
      </c>
      <c r="O49" s="22" t="n">
        <v>1218439</v>
      </c>
      <c r="P49" s="6" t="n">
        <f aca="false">SUMIF(BOM_V56!$B:$B,B49,BOM_V56!$M:$M)+SUMIF(BOM_V57!$B:$B,B49,BOM_V57!$M:$M)+SUMIF(BOM_v6!$B:$B,B49,BOM_v6!$M:$M)</f>
        <v>1136</v>
      </c>
      <c r="Q49" s="2" t="str">
        <f aca="false">IF(P49&gt;O49,"SÍ","")</f>
        <v/>
      </c>
      <c r="R49" s="38" t="n">
        <f aca="false">N49*(1+IF(Q49="SÍ",Supuestos!$B$14,0))</f>
        <v>0.0717</v>
      </c>
      <c r="S49" s="10" t="n">
        <f aca="false">M49*R49</f>
        <v>8.8191</v>
      </c>
      <c r="T49" s="2"/>
      <c r="U49" s="2" t="s">
        <v>291</v>
      </c>
    </row>
    <row r="50" customFormat="false" ht="15" hidden="false" customHeight="false" outlineLevel="0" collapsed="false">
      <c r="A50" s="2" t="s">
        <v>717</v>
      </c>
      <c r="B50" s="2" t="s">
        <v>612</v>
      </c>
      <c r="C50" s="2" t="s">
        <v>613</v>
      </c>
      <c r="D50" s="2" t="s">
        <v>436</v>
      </c>
      <c r="E50" s="2" t="s">
        <v>311</v>
      </c>
      <c r="F50" s="2" t="s">
        <v>197</v>
      </c>
      <c r="G50" s="2" t="n">
        <v>0</v>
      </c>
      <c r="H50" s="2" t="n">
        <v>2</v>
      </c>
      <c r="I50" s="2" t="n">
        <v>0</v>
      </c>
      <c r="J50" s="35" t="n">
        <v>2</v>
      </c>
      <c r="K50" s="6" t="n">
        <f aca="false">J50*Supuestos!D$5</f>
        <v>120</v>
      </c>
      <c r="L50" s="6" t="n">
        <f aca="false">IF(OR(U50="Resistors",U50="Capacitors"),ROUNDUP(K50*Supuestos!$B$16,0)+Supuestos!$B$17,ROUNDUP(K50*Supuestos!$B$18,0)+Supuestos!$B$19)</f>
        <v>8</v>
      </c>
      <c r="M50" s="6" t="n">
        <f aca="false">K50+L50</f>
        <v>128</v>
      </c>
      <c r="N50" s="33" t="n">
        <v>0.0708</v>
      </c>
      <c r="O50" s="22" t="n">
        <v>277169</v>
      </c>
      <c r="P50" s="6" t="n">
        <f aca="false">SUMIF(BOM_V56!$B:$B,B50,BOM_V56!$M:$M)+SUMIF(BOM_V57!$B:$B,B50,BOM_V57!$M:$M)+SUMIF(BOM_v6!$B:$B,B50,BOM_v6!$M:$M)</f>
        <v>878</v>
      </c>
      <c r="Q50" s="2" t="str">
        <f aca="false">IF(P50&gt;O50,"SÍ","")</f>
        <v/>
      </c>
      <c r="R50" s="38" t="n">
        <f aca="false">N50*(1+IF(Q50="SÍ",Supuestos!$B$14,0))</f>
        <v>0.0708</v>
      </c>
      <c r="S50" s="10" t="n">
        <f aca="false">M50*R50</f>
        <v>9.0624</v>
      </c>
      <c r="T50" s="2"/>
      <c r="U50" s="2" t="s">
        <v>239</v>
      </c>
    </row>
    <row r="51" customFormat="false" ht="15" hidden="false" customHeight="false" outlineLevel="0" collapsed="false">
      <c r="A51" s="2" t="s">
        <v>718</v>
      </c>
      <c r="B51" s="2" t="s">
        <v>367</v>
      </c>
      <c r="C51" s="2" t="s">
        <v>368</v>
      </c>
      <c r="D51" s="2" t="s">
        <v>195</v>
      </c>
      <c r="E51" s="2" t="s">
        <v>369</v>
      </c>
      <c r="F51" s="2" t="s">
        <v>197</v>
      </c>
      <c r="G51" s="2" t="n">
        <v>0</v>
      </c>
      <c r="H51" s="2" t="n">
        <v>6</v>
      </c>
      <c r="I51" s="2" t="n">
        <v>0</v>
      </c>
      <c r="J51" s="35" t="n">
        <v>1</v>
      </c>
      <c r="K51" s="6" t="n">
        <f aca="false">J51*Supuestos!D$5</f>
        <v>60</v>
      </c>
      <c r="L51" s="6" t="n">
        <f aca="false">IF(OR(U51="Resistors",U51="Capacitors"),ROUNDUP(K51*Supuestos!$B$16,0)+Supuestos!$B$17,ROUNDUP(K51*Supuestos!$B$18,0)+Supuestos!$B$19)</f>
        <v>2</v>
      </c>
      <c r="M51" s="6" t="n">
        <f aca="false">K51+L51</f>
        <v>62</v>
      </c>
      <c r="N51" s="33" t="n">
        <v>0.1384</v>
      </c>
      <c r="O51" s="22" t="n">
        <v>36981</v>
      </c>
      <c r="P51" s="6" t="n">
        <f aca="false">SUMIF(BOM_V56!$B:$B,B51,BOM_V56!$M:$M)+SUMIF(BOM_V57!$B:$B,B51,BOM_V57!$M:$M)+SUMIF(BOM_v6!$B:$B,B51,BOM_v6!$M:$M)</f>
        <v>570</v>
      </c>
      <c r="Q51" s="2" t="str">
        <f aca="false">IF(P51&gt;O51,"SÍ","")</f>
        <v/>
      </c>
      <c r="R51" s="38" t="n">
        <f aca="false">N51*(1+IF(Q51="SÍ",Supuestos!$B$14,0))</f>
        <v>0.1384</v>
      </c>
      <c r="S51" s="10" t="n">
        <f aca="false">M51*R51</f>
        <v>8.5808</v>
      </c>
      <c r="T51" s="2"/>
      <c r="U51" s="2" t="s">
        <v>370</v>
      </c>
    </row>
    <row r="52" customFormat="false" ht="15" hidden="false" customHeight="false" outlineLevel="0" collapsed="false">
      <c r="A52" s="2" t="s">
        <v>719</v>
      </c>
      <c r="B52" s="2" t="s">
        <v>720</v>
      </c>
      <c r="C52" s="2" t="s">
        <v>721</v>
      </c>
      <c r="D52" s="2" t="s">
        <v>389</v>
      </c>
      <c r="E52" s="2" t="s">
        <v>546</v>
      </c>
      <c r="F52" s="2" t="s">
        <v>197</v>
      </c>
      <c r="G52" s="2" t="n">
        <v>0</v>
      </c>
      <c r="H52" s="2" t="n">
        <v>2</v>
      </c>
      <c r="I52" s="2" t="n">
        <v>0</v>
      </c>
      <c r="J52" s="35" t="n">
        <v>1</v>
      </c>
      <c r="K52" s="6" t="n">
        <f aca="false">J52*Supuestos!D$5</f>
        <v>60</v>
      </c>
      <c r="L52" s="6" t="n">
        <f aca="false">IF(OR(U52="Resistors",U52="Capacitors"),ROUNDUP(K52*Supuestos!$B$16,0)+Supuestos!$B$17,ROUNDUP(K52*Supuestos!$B$18,0)+Supuestos!$B$19)</f>
        <v>2</v>
      </c>
      <c r="M52" s="6" t="n">
        <f aca="false">K52+L52</f>
        <v>62</v>
      </c>
      <c r="N52" s="33" t="n">
        <v>0.1326</v>
      </c>
      <c r="O52" s="22" t="n">
        <v>4045</v>
      </c>
      <c r="P52" s="6" t="n">
        <f aca="false">SUMIF(BOM_V56!$B:$B,B52,BOM_V56!$M:$M)+SUMIF(BOM_V57!$B:$B,B52,BOM_V57!$M:$M)+SUMIF(BOM_v6!$B:$B,B52,BOM_v6!$M:$M)</f>
        <v>62</v>
      </c>
      <c r="Q52" s="2" t="str">
        <f aca="false">IF(P52&gt;O52,"SÍ","")</f>
        <v/>
      </c>
      <c r="R52" s="38" t="n">
        <f aca="false">N52*(1+IF(Q52="SÍ",Supuestos!$B$14,0))</f>
        <v>0.1326</v>
      </c>
      <c r="S52" s="10" t="n">
        <f aca="false">M52*R52</f>
        <v>8.2212</v>
      </c>
      <c r="T52" s="2"/>
      <c r="U52" s="2" t="s">
        <v>370</v>
      </c>
    </row>
    <row r="53" customFormat="false" ht="15" hidden="false" customHeight="false" outlineLevel="0" collapsed="false">
      <c r="A53" s="2" t="s">
        <v>400</v>
      </c>
      <c r="B53" s="2" t="s">
        <v>722</v>
      </c>
      <c r="C53" s="2" t="s">
        <v>723</v>
      </c>
      <c r="D53" s="2" t="s">
        <v>724</v>
      </c>
      <c r="E53" s="2" t="s">
        <v>404</v>
      </c>
      <c r="F53" s="2" t="s">
        <v>197</v>
      </c>
      <c r="G53" s="2" t="n">
        <v>0</v>
      </c>
      <c r="H53" s="2" t="n">
        <v>2</v>
      </c>
      <c r="I53" s="2" t="n">
        <v>0</v>
      </c>
      <c r="J53" s="35" t="n">
        <v>1</v>
      </c>
      <c r="K53" s="6" t="n">
        <f aca="false">J53*Supuestos!D$5</f>
        <v>60</v>
      </c>
      <c r="L53" s="6" t="n">
        <f aca="false">IF(OR(U53="Resistors",U53="Capacitors"),ROUNDUP(K53*Supuestos!$B$16,0)+Supuestos!$B$17,ROUNDUP(K53*Supuestos!$B$18,0)+Supuestos!$B$19)</f>
        <v>2</v>
      </c>
      <c r="M53" s="6" t="n">
        <f aca="false">K53+L53</f>
        <v>62</v>
      </c>
      <c r="N53" s="33" t="n">
        <v>0.1133</v>
      </c>
      <c r="O53" s="22" t="n">
        <v>44486</v>
      </c>
      <c r="P53" s="6" t="n">
        <f aca="false">SUMIF(BOM_V56!$B:$B,B53,BOM_V56!$M:$M)+SUMIF(BOM_V57!$B:$B,B53,BOM_V57!$M:$M)+SUMIF(BOM_v6!$B:$B,B53,BOM_v6!$M:$M)</f>
        <v>62</v>
      </c>
      <c r="Q53" s="2" t="str">
        <f aca="false">IF(P53&gt;O53,"SÍ","")</f>
        <v/>
      </c>
      <c r="R53" s="38" t="n">
        <f aca="false">N53*(1+IF(Q53="SÍ",Supuestos!$B$14,0))</f>
        <v>0.1133</v>
      </c>
      <c r="S53" s="10" t="n">
        <f aca="false">M53*R53</f>
        <v>7.0246</v>
      </c>
      <c r="T53" s="2"/>
      <c r="U53" s="2" t="s">
        <v>405</v>
      </c>
    </row>
    <row r="54" customFormat="false" ht="15" hidden="false" customHeight="false" outlineLevel="0" collapsed="false">
      <c r="A54" s="2" t="s">
        <v>725</v>
      </c>
      <c r="B54" s="2" t="s">
        <v>381</v>
      </c>
      <c r="C54" s="2" t="s">
        <v>382</v>
      </c>
      <c r="D54" s="2" t="s">
        <v>383</v>
      </c>
      <c r="E54" s="2" t="s">
        <v>384</v>
      </c>
      <c r="F54" s="2" t="s">
        <v>238</v>
      </c>
      <c r="G54" s="2" t="n">
        <v>0</v>
      </c>
      <c r="H54" s="2" t="n">
        <v>2</v>
      </c>
      <c r="I54" s="2" t="n">
        <v>0</v>
      </c>
      <c r="J54" s="35" t="n">
        <v>4</v>
      </c>
      <c r="K54" s="6" t="n">
        <f aca="false">J54*Supuestos!D$5</f>
        <v>240</v>
      </c>
      <c r="L54" s="6" t="n">
        <f aca="false">IF(OR(U54="Resistors",U54="Capacitors"),ROUNDUP(K54*Supuestos!$B$16,0)+Supuestos!$B$17,ROUNDUP(K54*Supuestos!$B$18,0)+Supuestos!$B$19)</f>
        <v>4</v>
      </c>
      <c r="M54" s="6" t="n">
        <f aca="false">K54+L54</f>
        <v>244</v>
      </c>
      <c r="N54" s="33" t="n">
        <v>0.0282</v>
      </c>
      <c r="O54" s="22" t="n">
        <v>3593295</v>
      </c>
      <c r="P54" s="6" t="n">
        <f aca="false">SUMIF(BOM_V56!$B:$B,B54,BOM_V56!$M:$M)+SUMIF(BOM_V57!$B:$B,B54,BOM_V57!$M:$M)+SUMIF(BOM_v6!$B:$B,B54,BOM_v6!$M:$M)</f>
        <v>2403</v>
      </c>
      <c r="Q54" s="2" t="str">
        <f aca="false">IF(P54&gt;O54,"SÍ","")</f>
        <v/>
      </c>
      <c r="R54" s="38" t="n">
        <f aca="false">N54*(1+IF(Q54="SÍ",Supuestos!$B$14,0))</f>
        <v>0.0282</v>
      </c>
      <c r="S54" s="10" t="n">
        <f aca="false">M54*R54</f>
        <v>6.8808</v>
      </c>
      <c r="T54" s="2"/>
      <c r="U54" s="2" t="s">
        <v>385</v>
      </c>
    </row>
    <row r="55" customFormat="false" ht="15" hidden="false" customHeight="false" outlineLevel="0" collapsed="false">
      <c r="A55" s="2" t="s">
        <v>396</v>
      </c>
      <c r="B55" s="2" t="s">
        <v>397</v>
      </c>
      <c r="C55" s="2" t="s">
        <v>398</v>
      </c>
      <c r="D55" s="2" t="s">
        <v>399</v>
      </c>
      <c r="E55" s="2" t="s">
        <v>395</v>
      </c>
      <c r="F55" s="2" t="s">
        <v>197</v>
      </c>
      <c r="G55" s="2" t="n">
        <v>0</v>
      </c>
      <c r="H55" s="2" t="n">
        <v>2</v>
      </c>
      <c r="I55" s="2" t="n">
        <v>0</v>
      </c>
      <c r="J55" s="35" t="n">
        <v>1</v>
      </c>
      <c r="K55" s="6" t="n">
        <f aca="false">J55*Supuestos!D$5</f>
        <v>60</v>
      </c>
      <c r="L55" s="6" t="n">
        <f aca="false">IF(OR(U55="Resistors",U55="Capacitors"),ROUNDUP(K55*Supuestos!$B$16,0)+Supuestos!$B$17,ROUNDUP(K55*Supuestos!$B$18,0)+Supuestos!$B$19)</f>
        <v>7</v>
      </c>
      <c r="M55" s="6" t="n">
        <f aca="false">K55+L55</f>
        <v>67</v>
      </c>
      <c r="N55" s="33" t="n">
        <v>0.111</v>
      </c>
      <c r="O55" s="22" t="n">
        <v>27792</v>
      </c>
      <c r="P55" s="6" t="n">
        <f aca="false">SUMIF(BOM_V56!$B:$B,B55,BOM_V56!$M:$M)+SUMIF(BOM_V57!$B:$B,B55,BOM_V57!$M:$M)+SUMIF(BOM_v6!$B:$B,B55,BOM_v6!$M:$M)</f>
        <v>588</v>
      </c>
      <c r="Q55" s="2" t="str">
        <f aca="false">IF(P55&gt;O55,"SÍ","")</f>
        <v/>
      </c>
      <c r="R55" s="38" t="n">
        <f aca="false">N55*(1+IF(Q55="SÍ",Supuestos!$B$14,0))</f>
        <v>0.111</v>
      </c>
      <c r="S55" s="10" t="n">
        <f aca="false">M55*R55</f>
        <v>7.437</v>
      </c>
      <c r="T55" s="2"/>
      <c r="U55" s="2" t="s">
        <v>239</v>
      </c>
    </row>
    <row r="56" customFormat="false" ht="15" hidden="false" customHeight="false" outlineLevel="0" collapsed="false">
      <c r="A56" s="2" t="s">
        <v>726</v>
      </c>
      <c r="B56" s="2" t="s">
        <v>727</v>
      </c>
      <c r="C56" s="2" t="s">
        <v>728</v>
      </c>
      <c r="D56" s="2" t="s">
        <v>399</v>
      </c>
      <c r="E56" s="2" t="s">
        <v>395</v>
      </c>
      <c r="F56" s="2" t="s">
        <v>197</v>
      </c>
      <c r="G56" s="2" t="n">
        <v>0</v>
      </c>
      <c r="H56" s="2" t="n">
        <v>2</v>
      </c>
      <c r="I56" s="2" t="n">
        <v>0</v>
      </c>
      <c r="J56" s="35" t="n">
        <v>1</v>
      </c>
      <c r="K56" s="6" t="n">
        <f aca="false">J56*Supuestos!D$5</f>
        <v>60</v>
      </c>
      <c r="L56" s="6" t="n">
        <f aca="false">IF(OR(U56="Resistors",U56="Capacitors"),ROUNDUP(K56*Supuestos!$B$16,0)+Supuestos!$B$17,ROUNDUP(K56*Supuestos!$B$18,0)+Supuestos!$B$19)</f>
        <v>7</v>
      </c>
      <c r="M56" s="6" t="n">
        <f aca="false">K56+L56</f>
        <v>67</v>
      </c>
      <c r="N56" s="33" t="n">
        <v>0.1092</v>
      </c>
      <c r="O56" s="22" t="n">
        <v>23724</v>
      </c>
      <c r="P56" s="6" t="n">
        <f aca="false">SUMIF(BOM_V56!$B:$B,B56,BOM_V56!$M:$M)+SUMIF(BOM_V57!$B:$B,B56,BOM_V57!$M:$M)+SUMIF(BOM_v6!$B:$B,B56,BOM_v6!$M:$M)</f>
        <v>67</v>
      </c>
      <c r="Q56" s="2" t="str">
        <f aca="false">IF(P56&gt;O56,"SÍ","")</f>
        <v/>
      </c>
      <c r="R56" s="38" t="n">
        <f aca="false">N56*(1+IF(Q56="SÍ",Supuestos!$B$14,0))</f>
        <v>0.1092</v>
      </c>
      <c r="S56" s="10" t="n">
        <f aca="false">M56*R56</f>
        <v>7.3164</v>
      </c>
      <c r="T56" s="2"/>
      <c r="U56" s="2" t="s">
        <v>239</v>
      </c>
    </row>
    <row r="57" customFormat="false" ht="15" hidden="false" customHeight="false" outlineLevel="0" collapsed="false">
      <c r="A57" s="2" t="s">
        <v>729</v>
      </c>
      <c r="B57" s="2" t="s">
        <v>730</v>
      </c>
      <c r="C57" s="2" t="s">
        <v>731</v>
      </c>
      <c r="D57" s="2" t="s">
        <v>732</v>
      </c>
      <c r="E57" s="2" t="s">
        <v>733</v>
      </c>
      <c r="F57" s="2" t="s">
        <v>197</v>
      </c>
      <c r="G57" s="2" t="n">
        <v>0</v>
      </c>
      <c r="H57" s="2" t="n">
        <v>2</v>
      </c>
      <c r="I57" s="2" t="n">
        <v>0</v>
      </c>
      <c r="J57" s="35" t="n">
        <v>1</v>
      </c>
      <c r="K57" s="6" t="n">
        <f aca="false">J57*Supuestos!D$5</f>
        <v>60</v>
      </c>
      <c r="L57" s="6" t="n">
        <f aca="false">IF(OR(U57="Resistors",U57="Capacitors"),ROUNDUP(K57*Supuestos!$B$16,0)+Supuestos!$B$17,ROUNDUP(K57*Supuestos!$B$18,0)+Supuestos!$B$19)</f>
        <v>2</v>
      </c>
      <c r="M57" s="6" t="n">
        <f aca="false">K57+L57</f>
        <v>62</v>
      </c>
      <c r="N57" s="33" t="n">
        <v>0.0986</v>
      </c>
      <c r="O57" s="22" t="n">
        <v>1787</v>
      </c>
      <c r="P57" s="6" t="n">
        <f aca="false">SUMIF(BOM_V56!$B:$B,B57,BOM_V56!$M:$M)+SUMIF(BOM_V57!$B:$B,B57,BOM_V57!$M:$M)+SUMIF(BOM_v6!$B:$B,B57,BOM_v6!$M:$M)</f>
        <v>62</v>
      </c>
      <c r="Q57" s="2" t="str">
        <f aca="false">IF(P57&gt;O57,"SÍ","")</f>
        <v/>
      </c>
      <c r="R57" s="38" t="n">
        <f aca="false">N57*(1+IF(Q57="SÍ",Supuestos!$B$14,0))</f>
        <v>0.0986</v>
      </c>
      <c r="S57" s="10" t="n">
        <f aca="false">M57*R57</f>
        <v>6.1132</v>
      </c>
      <c r="T57" s="2"/>
      <c r="U57" s="2" t="s">
        <v>370</v>
      </c>
    </row>
    <row r="58" customFormat="false" ht="15" hidden="false" customHeight="false" outlineLevel="0" collapsed="false">
      <c r="A58" s="2" t="s">
        <v>734</v>
      </c>
      <c r="B58" s="2" t="s">
        <v>418</v>
      </c>
      <c r="C58" s="2" t="s">
        <v>419</v>
      </c>
      <c r="D58" s="2" t="s">
        <v>420</v>
      </c>
      <c r="E58" s="2" t="s">
        <v>237</v>
      </c>
      <c r="F58" s="2" t="s">
        <v>238</v>
      </c>
      <c r="G58" s="2" t="n">
        <v>0</v>
      </c>
      <c r="H58" s="2" t="n">
        <v>2</v>
      </c>
      <c r="I58" s="2" t="n">
        <v>0</v>
      </c>
      <c r="J58" s="35" t="n">
        <v>6</v>
      </c>
      <c r="K58" s="6" t="n">
        <f aca="false">J58*Supuestos!D$5</f>
        <v>360</v>
      </c>
      <c r="L58" s="6" t="n">
        <f aca="false">IF(OR(U58="Resistors",U58="Capacitors"),ROUNDUP(K58*Supuestos!$B$16,0)+Supuestos!$B$17,ROUNDUP(K58*Supuestos!$B$18,0)+Supuestos!$B$19)</f>
        <v>5</v>
      </c>
      <c r="M58" s="6" t="n">
        <f aca="false">K58+L58</f>
        <v>365</v>
      </c>
      <c r="N58" s="33" t="n">
        <v>0.0164</v>
      </c>
      <c r="O58" s="22" t="n">
        <v>2376492</v>
      </c>
      <c r="P58" s="6" t="n">
        <f aca="false">SUMIF(BOM_V56!$B:$B,B58,BOM_V56!$M:$M)+SUMIF(BOM_V57!$B:$B,B58,BOM_V57!$M:$M)+SUMIF(BOM_v6!$B:$B,B58,BOM_v6!$M:$M)</f>
        <v>3398</v>
      </c>
      <c r="Q58" s="2" t="str">
        <f aca="false">IF(P58&gt;O58,"SÍ","")</f>
        <v/>
      </c>
      <c r="R58" s="38" t="n">
        <f aca="false">N58*(1+IF(Q58="SÍ",Supuestos!$B$14,0))</f>
        <v>0.0164</v>
      </c>
      <c r="S58" s="10" t="n">
        <f aca="false">M58*R58</f>
        <v>5.986</v>
      </c>
      <c r="T58" s="2"/>
      <c r="U58" s="2" t="s">
        <v>421</v>
      </c>
    </row>
    <row r="59" customFormat="false" ht="15" hidden="false" customHeight="false" outlineLevel="0" collapsed="false">
      <c r="A59" s="2" t="s">
        <v>371</v>
      </c>
      <c r="B59" s="2" t="s">
        <v>407</v>
      </c>
      <c r="C59" s="2" t="s">
        <v>408</v>
      </c>
      <c r="D59" s="2" t="s">
        <v>363</v>
      </c>
      <c r="E59" s="2" t="s">
        <v>364</v>
      </c>
      <c r="F59" s="2" t="s">
        <v>197</v>
      </c>
      <c r="G59" s="2" t="n">
        <v>0</v>
      </c>
      <c r="H59" s="2" t="n">
        <v>2</v>
      </c>
      <c r="I59" s="2" t="n">
        <v>0</v>
      </c>
      <c r="J59" s="35" t="n">
        <v>1</v>
      </c>
      <c r="K59" s="6" t="n">
        <f aca="false">J59*Supuestos!D$5</f>
        <v>60</v>
      </c>
      <c r="L59" s="6" t="n">
        <f aca="false">IF(OR(U59="Resistors",U59="Capacitors"),ROUNDUP(K59*Supuestos!$B$16,0)+Supuestos!$B$17,ROUNDUP(K59*Supuestos!$B$18,0)+Supuestos!$B$19)</f>
        <v>2</v>
      </c>
      <c r="M59" s="6" t="n">
        <f aca="false">K59+L59</f>
        <v>62</v>
      </c>
      <c r="N59" s="33" t="n">
        <v>0.096</v>
      </c>
      <c r="O59" s="22" t="n">
        <v>10870</v>
      </c>
      <c r="P59" s="6" t="n">
        <f aca="false">SUMIF(BOM_V56!$B:$B,B59,BOM_V56!$M:$M)+SUMIF(BOM_V57!$B:$B,B59,BOM_V57!$M:$M)+SUMIF(BOM_v6!$B:$B,B59,BOM_v6!$M:$M)</f>
        <v>570</v>
      </c>
      <c r="Q59" s="2" t="str">
        <f aca="false">IF(P59&gt;O59,"SÍ","")</f>
        <v/>
      </c>
      <c r="R59" s="38" t="n">
        <f aca="false">N59*(1+IF(Q59="SÍ",Supuestos!$B$14,0))</f>
        <v>0.096</v>
      </c>
      <c r="S59" s="10" t="n">
        <f aca="false">M59*R59</f>
        <v>5.952</v>
      </c>
      <c r="T59" s="2"/>
      <c r="U59" s="2" t="s">
        <v>365</v>
      </c>
    </row>
    <row r="60" customFormat="false" ht="15" hidden="false" customHeight="false" outlineLevel="0" collapsed="false">
      <c r="A60" s="2" t="s">
        <v>735</v>
      </c>
      <c r="B60" s="2" t="s">
        <v>361</v>
      </c>
      <c r="C60" s="2" t="s">
        <v>362</v>
      </c>
      <c r="D60" s="2" t="s">
        <v>363</v>
      </c>
      <c r="E60" s="2" t="s">
        <v>364</v>
      </c>
      <c r="F60" s="2" t="s">
        <v>197</v>
      </c>
      <c r="G60" s="2" t="n">
        <v>0</v>
      </c>
      <c r="H60" s="2" t="n">
        <v>2</v>
      </c>
      <c r="I60" s="2" t="n">
        <v>0</v>
      </c>
      <c r="J60" s="35" t="n">
        <v>1</v>
      </c>
      <c r="K60" s="6" t="n">
        <f aca="false">J60*Supuestos!D$5</f>
        <v>60</v>
      </c>
      <c r="L60" s="6" t="n">
        <f aca="false">IF(OR(U60="Resistors",U60="Capacitors"),ROUNDUP(K60*Supuestos!$B$16,0)+Supuestos!$B$17,ROUNDUP(K60*Supuestos!$B$18,0)+Supuestos!$B$19)</f>
        <v>2</v>
      </c>
      <c r="M60" s="6" t="n">
        <f aca="false">K60+L60</f>
        <v>62</v>
      </c>
      <c r="N60" s="33" t="n">
        <v>0.0821</v>
      </c>
      <c r="O60" s="22" t="n">
        <v>29426</v>
      </c>
      <c r="P60" s="6" t="n">
        <f aca="false">SUMIF(BOM_V56!$B:$B,B60,BOM_V56!$M:$M)+SUMIF(BOM_V57!$B:$B,B60,BOM_V57!$M:$M)+SUMIF(BOM_v6!$B:$B,B60,BOM_v6!$M:$M)</f>
        <v>1075</v>
      </c>
      <c r="Q60" s="2" t="str">
        <f aca="false">IF(P60&gt;O60,"SÍ","")</f>
        <v/>
      </c>
      <c r="R60" s="38" t="n">
        <f aca="false">N60*(1+IF(Q60="SÍ",Supuestos!$B$14,0))</f>
        <v>0.0821</v>
      </c>
      <c r="S60" s="10" t="n">
        <f aca="false">M60*R60</f>
        <v>5.0902</v>
      </c>
      <c r="T60" s="2"/>
      <c r="U60" s="2" t="s">
        <v>365</v>
      </c>
    </row>
    <row r="61" customFormat="false" ht="15" hidden="false" customHeight="false" outlineLevel="0" collapsed="false">
      <c r="A61" s="2" t="s">
        <v>736</v>
      </c>
      <c r="B61" s="2" t="s">
        <v>415</v>
      </c>
      <c r="C61" s="2" t="s">
        <v>416</v>
      </c>
      <c r="D61" s="2" t="s">
        <v>289</v>
      </c>
      <c r="E61" s="2" t="s">
        <v>379</v>
      </c>
      <c r="F61" s="2" t="s">
        <v>238</v>
      </c>
      <c r="G61" s="2" t="n">
        <v>0</v>
      </c>
      <c r="H61" s="2" t="n">
        <v>3</v>
      </c>
      <c r="I61" s="2" t="n">
        <v>0</v>
      </c>
      <c r="J61" s="35" t="n">
        <v>1</v>
      </c>
      <c r="K61" s="6" t="n">
        <f aca="false">J61*Supuestos!D$5</f>
        <v>60</v>
      </c>
      <c r="L61" s="6" t="n">
        <f aca="false">IF(OR(U61="Resistors",U61="Capacitors"),ROUNDUP(K61*Supuestos!$B$16,0)+Supuestos!$B$17,ROUNDUP(K61*Supuestos!$B$18,0)+Supuestos!$B$19)</f>
        <v>2</v>
      </c>
      <c r="M61" s="6" t="n">
        <f aca="false">K61+L61</f>
        <v>62</v>
      </c>
      <c r="N61" s="33" t="n">
        <v>0.0783</v>
      </c>
      <c r="O61" s="22" t="n">
        <v>709733</v>
      </c>
      <c r="P61" s="6" t="n">
        <f aca="false">SUMIF(BOM_V56!$B:$B,B61,BOM_V56!$M:$M)+SUMIF(BOM_V57!$B:$B,B61,BOM_V57!$M:$M)+SUMIF(BOM_v6!$B:$B,B61,BOM_v6!$M:$M)</f>
        <v>570</v>
      </c>
      <c r="Q61" s="2" t="str">
        <f aca="false">IF(P61&gt;O61,"SÍ","")</f>
        <v/>
      </c>
      <c r="R61" s="38" t="n">
        <f aca="false">N61*(1+IF(Q61="SÍ",Supuestos!$B$14,0))</f>
        <v>0.0783</v>
      </c>
      <c r="S61" s="10" t="n">
        <f aca="false">M61*R61</f>
        <v>4.8546</v>
      </c>
      <c r="T61" s="2"/>
      <c r="U61" s="2" t="s">
        <v>291</v>
      </c>
    </row>
    <row r="62" customFormat="false" ht="15" hidden="false" customHeight="false" outlineLevel="0" collapsed="false">
      <c r="A62" s="2" t="s">
        <v>422</v>
      </c>
      <c r="B62" s="2" t="s">
        <v>423</v>
      </c>
      <c r="C62" s="2" t="s">
        <v>424</v>
      </c>
      <c r="D62" s="2" t="s">
        <v>425</v>
      </c>
      <c r="E62" s="39" t="s">
        <v>426</v>
      </c>
      <c r="F62" s="2" t="s">
        <v>197</v>
      </c>
      <c r="G62" s="2" t="n">
        <v>1</v>
      </c>
      <c r="H62" s="2" t="n">
        <v>0</v>
      </c>
      <c r="I62" s="2" t="n">
        <v>4</v>
      </c>
      <c r="J62" s="35" t="n">
        <v>2</v>
      </c>
      <c r="K62" s="6" t="n">
        <f aca="false">J62*Supuestos!D$5</f>
        <v>120</v>
      </c>
      <c r="L62" s="6" t="n">
        <f aca="false">IF(OR(U62="Resistors",U62="Capacitors"),ROUNDUP(K62*Supuestos!$B$16,0)+Supuestos!$B$17,ROUNDUP(K62*Supuestos!$B$18,0)+Supuestos!$B$19)</f>
        <v>3</v>
      </c>
      <c r="M62" s="6" t="n">
        <f aca="false">K62+L62</f>
        <v>123</v>
      </c>
      <c r="N62" s="33" t="n">
        <v>0.0379</v>
      </c>
      <c r="O62" s="22" t="n">
        <v>1491</v>
      </c>
      <c r="P62" s="6" t="n">
        <f aca="false">SUMIF(BOM_V56!$B:$B,B62,BOM_V56!$M:$M)+SUMIF(BOM_V57!$B:$B,B62,BOM_V57!$M:$M)+SUMIF(BOM_v6!$B:$B,B62,BOM_v6!$M:$M)</f>
        <v>1136</v>
      </c>
      <c r="Q62" s="2" t="str">
        <f aca="false">IF(P62&gt;O62,"SÍ","")</f>
        <v/>
      </c>
      <c r="R62" s="38" t="n">
        <f aca="false">N62*(1+IF(Q62="SÍ",Supuestos!$B$14,0))</f>
        <v>0.0379</v>
      </c>
      <c r="S62" s="10" t="n">
        <f aca="false">M62*R62</f>
        <v>4.6617</v>
      </c>
      <c r="T62" s="2"/>
      <c r="U62" s="2" t="s">
        <v>333</v>
      </c>
    </row>
    <row r="63" customFormat="false" ht="15" hidden="false" customHeight="false" outlineLevel="0" collapsed="false">
      <c r="A63" s="2" t="s">
        <v>737</v>
      </c>
      <c r="B63" s="2" t="s">
        <v>738</v>
      </c>
      <c r="C63" s="2" t="s">
        <v>739</v>
      </c>
      <c r="D63" s="2" t="s">
        <v>740</v>
      </c>
      <c r="E63" s="2" t="s">
        <v>741</v>
      </c>
      <c r="F63" s="2" t="s">
        <v>197</v>
      </c>
      <c r="G63" s="2" t="n">
        <v>0</v>
      </c>
      <c r="H63" s="2" t="n">
        <v>4</v>
      </c>
      <c r="I63" s="2" t="n">
        <v>0</v>
      </c>
      <c r="J63" s="35" t="n">
        <v>1</v>
      </c>
      <c r="K63" s="6" t="n">
        <f aca="false">J63*Supuestos!D$5</f>
        <v>60</v>
      </c>
      <c r="L63" s="6" t="n">
        <f aca="false">IF(OR(U63="Resistors",U63="Capacitors"),ROUNDUP(K63*Supuestos!$B$16,0)+Supuestos!$B$17,ROUNDUP(K63*Supuestos!$B$18,0)+Supuestos!$B$19)</f>
        <v>2</v>
      </c>
      <c r="M63" s="6" t="n">
        <f aca="false">K63+L63</f>
        <v>62</v>
      </c>
      <c r="N63" s="33" t="n">
        <v>0.0694</v>
      </c>
      <c r="O63" s="22" t="n">
        <v>11019</v>
      </c>
      <c r="P63" s="6" t="n">
        <f aca="false">SUMIF(BOM_V56!$B:$B,B63,BOM_V56!$M:$M)+SUMIF(BOM_V57!$B:$B,B63,BOM_V57!$M:$M)+SUMIF(BOM_v6!$B:$B,B63,BOM_v6!$M:$M)</f>
        <v>62</v>
      </c>
      <c r="Q63" s="2" t="str">
        <f aca="false">IF(P63&gt;O63,"SÍ","")</f>
        <v/>
      </c>
      <c r="R63" s="38" t="n">
        <f aca="false">N63*(1+IF(Q63="SÍ",Supuestos!$B$14,0))</f>
        <v>0.0694</v>
      </c>
      <c r="S63" s="10" t="n">
        <f aca="false">M63*R63</f>
        <v>4.3028</v>
      </c>
      <c r="T63" s="2"/>
      <c r="U63" s="2" t="s">
        <v>742</v>
      </c>
    </row>
    <row r="64" customFormat="false" ht="15" hidden="false" customHeight="false" outlineLevel="0" collapsed="false">
      <c r="A64" s="2" t="s">
        <v>743</v>
      </c>
      <c r="B64" s="2" t="s">
        <v>744</v>
      </c>
      <c r="C64" s="2" t="s">
        <v>745</v>
      </c>
      <c r="D64" s="2" t="s">
        <v>264</v>
      </c>
      <c r="E64" s="2" t="s">
        <v>316</v>
      </c>
      <c r="F64" s="2" t="s">
        <v>197</v>
      </c>
      <c r="G64" s="2" t="n">
        <v>0</v>
      </c>
      <c r="H64" s="2" t="n">
        <v>2</v>
      </c>
      <c r="I64" s="2" t="n">
        <v>0</v>
      </c>
      <c r="J64" s="35" t="n">
        <v>1</v>
      </c>
      <c r="K64" s="6" t="n">
        <f aca="false">J64*Supuestos!D$5</f>
        <v>60</v>
      </c>
      <c r="L64" s="6" t="n">
        <f aca="false">IF(OR(U64="Resistors",U64="Capacitors"),ROUNDUP(K64*Supuestos!$B$16,0)+Supuestos!$B$17,ROUNDUP(K64*Supuestos!$B$18,0)+Supuestos!$B$19)</f>
        <v>2</v>
      </c>
      <c r="M64" s="6" t="n">
        <f aca="false">K64+L64</f>
        <v>62</v>
      </c>
      <c r="N64" s="33" t="n">
        <v>0.0685</v>
      </c>
      <c r="O64" s="22" t="n">
        <v>8048</v>
      </c>
      <c r="P64" s="6" t="n">
        <f aca="false">SUMIF(BOM_V56!$B:$B,B64,BOM_V56!$M:$M)+SUMIF(BOM_V57!$B:$B,B64,BOM_V57!$M:$M)+SUMIF(BOM_v6!$B:$B,B64,BOM_v6!$M:$M)</f>
        <v>62</v>
      </c>
      <c r="Q64" s="2" t="str">
        <f aca="false">IF(P64&gt;O64,"SÍ","")</f>
        <v/>
      </c>
      <c r="R64" s="38" t="n">
        <f aca="false">N64*(1+IF(Q64="SÍ",Supuestos!$B$14,0))</f>
        <v>0.0685</v>
      </c>
      <c r="S64" s="10" t="n">
        <f aca="false">M64*R64</f>
        <v>4.247</v>
      </c>
      <c r="T64" s="2"/>
      <c r="U64" s="2" t="s">
        <v>596</v>
      </c>
    </row>
    <row r="65" customFormat="false" ht="15" hidden="false" customHeight="false" outlineLevel="0" collapsed="false">
      <c r="A65" s="2" t="s">
        <v>746</v>
      </c>
      <c r="B65" s="2" t="s">
        <v>747</v>
      </c>
      <c r="C65" s="2" t="s">
        <v>748</v>
      </c>
      <c r="D65" s="2" t="s">
        <v>671</v>
      </c>
      <c r="E65" s="2" t="s">
        <v>749</v>
      </c>
      <c r="F65" s="2" t="s">
        <v>197</v>
      </c>
      <c r="G65" s="2" t="n">
        <v>0</v>
      </c>
      <c r="H65" s="2" t="n">
        <v>5</v>
      </c>
      <c r="I65" s="2" t="n">
        <v>0</v>
      </c>
      <c r="J65" s="35" t="n">
        <v>1</v>
      </c>
      <c r="K65" s="6" t="n">
        <f aca="false">J65*Supuestos!D$5</f>
        <v>60</v>
      </c>
      <c r="L65" s="6" t="n">
        <f aca="false">IF(OR(U65="Resistors",U65="Capacitors"),ROUNDUP(K65*Supuestos!$B$16,0)+Supuestos!$B$17,ROUNDUP(K65*Supuestos!$B$18,0)+Supuestos!$B$19)</f>
        <v>2</v>
      </c>
      <c r="M65" s="6" t="n">
        <f aca="false">K65+L65</f>
        <v>62</v>
      </c>
      <c r="N65" s="33" t="n">
        <v>0.0658</v>
      </c>
      <c r="O65" s="22" t="n">
        <v>61093</v>
      </c>
      <c r="P65" s="6" t="n">
        <f aca="false">SUMIF(BOM_V56!$B:$B,B65,BOM_V56!$M:$M)+SUMIF(BOM_V57!$B:$B,B65,BOM_V57!$M:$M)+SUMIF(BOM_v6!$B:$B,B65,BOM_v6!$M:$M)</f>
        <v>62</v>
      </c>
      <c r="Q65" s="2" t="str">
        <f aca="false">IF(P65&gt;O65,"SÍ","")</f>
        <v/>
      </c>
      <c r="R65" s="38" t="n">
        <f aca="false">N65*(1+IF(Q65="SÍ",Supuestos!$B$14,0))</f>
        <v>0.0658</v>
      </c>
      <c r="S65" s="10" t="n">
        <f aca="false">M65*R65</f>
        <v>4.0796</v>
      </c>
      <c r="T65" s="2"/>
      <c r="U65" s="2" t="s">
        <v>673</v>
      </c>
    </row>
    <row r="66" customFormat="false" ht="15" hidden="false" customHeight="false" outlineLevel="0" collapsed="false">
      <c r="A66" s="2" t="s">
        <v>750</v>
      </c>
      <c r="B66" s="2" t="s">
        <v>751</v>
      </c>
      <c r="C66" s="2" t="s">
        <v>752</v>
      </c>
      <c r="D66" s="2" t="s">
        <v>441</v>
      </c>
      <c r="E66" s="2" t="s">
        <v>753</v>
      </c>
      <c r="F66" s="2" t="s">
        <v>197</v>
      </c>
      <c r="G66" s="2" t="n">
        <v>0</v>
      </c>
      <c r="H66" s="2" t="n">
        <v>2</v>
      </c>
      <c r="I66" s="2" t="n">
        <v>0</v>
      </c>
      <c r="J66" s="35" t="n">
        <v>1</v>
      </c>
      <c r="K66" s="6" t="n">
        <f aca="false">J66*Supuestos!D$5</f>
        <v>60</v>
      </c>
      <c r="L66" s="6" t="n">
        <f aca="false">IF(OR(U66="Resistors",U66="Capacitors"),ROUNDUP(K66*Supuestos!$B$16,0)+Supuestos!$B$17,ROUNDUP(K66*Supuestos!$B$18,0)+Supuestos!$B$19)</f>
        <v>2</v>
      </c>
      <c r="M66" s="6" t="n">
        <f aca="false">K66+L66</f>
        <v>62</v>
      </c>
      <c r="N66" s="33" t="n">
        <v>0.057</v>
      </c>
      <c r="O66" s="22" t="n">
        <v>7965</v>
      </c>
      <c r="P66" s="6" t="n">
        <f aca="false">SUMIF(BOM_V56!$B:$B,B66,BOM_V56!$M:$M)+SUMIF(BOM_V57!$B:$B,B66,BOM_V57!$M:$M)+SUMIF(BOM_v6!$B:$B,B66,BOM_v6!$M:$M)</f>
        <v>62</v>
      </c>
      <c r="Q66" s="2" t="str">
        <f aca="false">IF(P66&gt;O66,"SÍ","")</f>
        <v/>
      </c>
      <c r="R66" s="38" t="n">
        <f aca="false">N66*(1+IF(Q66="SÍ",Supuestos!$B$14,0))</f>
        <v>0.057</v>
      </c>
      <c r="S66" s="10" t="n">
        <f aca="false">M66*R66</f>
        <v>3.534</v>
      </c>
      <c r="T66" s="2"/>
      <c r="U66" s="2" t="s">
        <v>370</v>
      </c>
    </row>
    <row r="67" customFormat="false" ht="15" hidden="false" customHeight="false" outlineLevel="0" collapsed="false">
      <c r="A67" s="2" t="s">
        <v>754</v>
      </c>
      <c r="B67" s="2" t="s">
        <v>428</v>
      </c>
      <c r="C67" s="2" t="s">
        <v>429</v>
      </c>
      <c r="D67" s="2" t="s">
        <v>358</v>
      </c>
      <c r="E67" s="39" t="s">
        <v>359</v>
      </c>
      <c r="F67" s="2" t="s">
        <v>197</v>
      </c>
      <c r="G67" s="2" t="n">
        <v>1</v>
      </c>
      <c r="H67" s="2" t="n">
        <v>0</v>
      </c>
      <c r="I67" s="2" t="n">
        <v>4</v>
      </c>
      <c r="J67" s="35" t="n">
        <v>1</v>
      </c>
      <c r="K67" s="6" t="n">
        <f aca="false">J67*Supuestos!D$5</f>
        <v>60</v>
      </c>
      <c r="L67" s="6" t="n">
        <f aca="false">IF(OR(U67="Resistors",U67="Capacitors"),ROUNDUP(K67*Supuestos!$B$16,0)+Supuestos!$B$17,ROUNDUP(K67*Supuestos!$B$18,0)+Supuestos!$B$19)</f>
        <v>2</v>
      </c>
      <c r="M67" s="6" t="n">
        <f aca="false">K67+L67</f>
        <v>62</v>
      </c>
      <c r="N67" s="33" t="n">
        <v>0.0568</v>
      </c>
      <c r="O67" s="22" t="n">
        <v>706985</v>
      </c>
      <c r="P67" s="6" t="n">
        <f aca="false">SUMIF(BOM_V56!$B:$B,B67,BOM_V56!$M:$M)+SUMIF(BOM_V57!$B:$B,B67,BOM_V57!$M:$M)+SUMIF(BOM_v6!$B:$B,B67,BOM_v6!$M:$M)</f>
        <v>570</v>
      </c>
      <c r="Q67" s="2" t="str">
        <f aca="false">IF(P67&gt;O67,"SÍ","")</f>
        <v/>
      </c>
      <c r="R67" s="38" t="n">
        <f aca="false">N67*(1+IF(Q67="SÍ",Supuestos!$B$14,0))</f>
        <v>0.0568</v>
      </c>
      <c r="S67" s="10" t="n">
        <f aca="false">M67*R67</f>
        <v>3.5216</v>
      </c>
      <c r="T67" s="2"/>
      <c r="U67" s="2" t="s">
        <v>254</v>
      </c>
    </row>
    <row r="68" customFormat="false" ht="15" hidden="false" customHeight="false" outlineLevel="0" collapsed="false">
      <c r="A68" s="2" t="s">
        <v>755</v>
      </c>
      <c r="B68" s="2" t="s">
        <v>431</v>
      </c>
      <c r="C68" s="2" t="s">
        <v>432</v>
      </c>
      <c r="D68" s="2" t="s">
        <v>358</v>
      </c>
      <c r="E68" s="39" t="s">
        <v>359</v>
      </c>
      <c r="F68" s="2" t="s">
        <v>197</v>
      </c>
      <c r="G68" s="2" t="n">
        <v>1</v>
      </c>
      <c r="H68" s="2" t="n">
        <v>0</v>
      </c>
      <c r="I68" s="2" t="n">
        <v>3</v>
      </c>
      <c r="J68" s="35" t="n">
        <v>1</v>
      </c>
      <c r="K68" s="6" t="n">
        <f aca="false">J68*Supuestos!D$5</f>
        <v>60</v>
      </c>
      <c r="L68" s="6" t="n">
        <f aca="false">IF(OR(U68="Resistors",U68="Capacitors"),ROUNDUP(K68*Supuestos!$B$16,0)+Supuestos!$B$17,ROUNDUP(K68*Supuestos!$B$18,0)+Supuestos!$B$19)</f>
        <v>2</v>
      </c>
      <c r="M68" s="6" t="n">
        <f aca="false">K68+L68</f>
        <v>62</v>
      </c>
      <c r="N68" s="33" t="n">
        <v>0.0546</v>
      </c>
      <c r="O68" s="22" t="n">
        <v>83477</v>
      </c>
      <c r="P68" s="6" t="n">
        <f aca="false">SUMIF(BOM_V56!$B:$B,B68,BOM_V56!$M:$M)+SUMIF(BOM_V57!$B:$B,B68,BOM_V57!$M:$M)+SUMIF(BOM_v6!$B:$B,B68,BOM_v6!$M:$M)</f>
        <v>570</v>
      </c>
      <c r="Q68" s="2" t="str">
        <f aca="false">IF(P68&gt;O68,"SÍ","")</f>
        <v/>
      </c>
      <c r="R68" s="38" t="n">
        <f aca="false">N68*(1+IF(Q68="SÍ",Supuestos!$B$14,0))</f>
        <v>0.0546</v>
      </c>
      <c r="S68" s="10" t="n">
        <f aca="false">M68*R68</f>
        <v>3.3852</v>
      </c>
      <c r="T68" s="2"/>
      <c r="U68" s="2" t="s">
        <v>254</v>
      </c>
    </row>
    <row r="69" customFormat="false" ht="15" hidden="false" customHeight="false" outlineLevel="0" collapsed="false">
      <c r="A69" s="2" t="s">
        <v>240</v>
      </c>
      <c r="B69" s="2" t="s">
        <v>756</v>
      </c>
      <c r="C69" s="2" t="s">
        <v>757</v>
      </c>
      <c r="D69" s="2" t="s">
        <v>258</v>
      </c>
      <c r="E69" s="2" t="s">
        <v>712</v>
      </c>
      <c r="F69" s="2" t="s">
        <v>197</v>
      </c>
      <c r="G69" s="2" t="n">
        <v>0</v>
      </c>
      <c r="H69" s="2" t="n">
        <v>5</v>
      </c>
      <c r="I69" s="2" t="n">
        <v>0</v>
      </c>
      <c r="J69" s="35" t="n">
        <v>1</v>
      </c>
      <c r="K69" s="6" t="n">
        <f aca="false">J69*Supuestos!D$5</f>
        <v>60</v>
      </c>
      <c r="L69" s="6" t="n">
        <f aca="false">IF(OR(U69="Resistors",U69="Capacitors"),ROUNDUP(K69*Supuestos!$B$16,0)+Supuestos!$B$17,ROUNDUP(K69*Supuestos!$B$18,0)+Supuestos!$B$19)</f>
        <v>2</v>
      </c>
      <c r="M69" s="6" t="n">
        <f aca="false">K69+L69</f>
        <v>62</v>
      </c>
      <c r="N69" s="33" t="n">
        <v>0.0528</v>
      </c>
      <c r="O69" s="22" t="n">
        <v>106291</v>
      </c>
      <c r="P69" s="6" t="n">
        <f aca="false">SUMIF(BOM_V56!$B:$B,B69,BOM_V56!$M:$M)+SUMIF(BOM_V57!$B:$B,B69,BOM_V57!$M:$M)+SUMIF(BOM_v6!$B:$B,B69,BOM_v6!$M:$M)</f>
        <v>62</v>
      </c>
      <c r="Q69" s="2" t="str">
        <f aca="false">IF(P69&gt;O69,"SÍ","")</f>
        <v/>
      </c>
      <c r="R69" s="38" t="n">
        <f aca="false">N69*(1+IF(Q69="SÍ",Supuestos!$B$14,0))</f>
        <v>0.0528</v>
      </c>
      <c r="S69" s="10" t="n">
        <f aca="false">M69*R69</f>
        <v>3.2736</v>
      </c>
      <c r="T69" s="2"/>
      <c r="U69" s="2" t="s">
        <v>673</v>
      </c>
    </row>
    <row r="70" customFormat="false" ht="15" hidden="false" customHeight="false" outlineLevel="0" collapsed="false">
      <c r="A70" s="2" t="s">
        <v>758</v>
      </c>
      <c r="B70" s="2" t="s">
        <v>544</v>
      </c>
      <c r="C70" s="2" t="s">
        <v>545</v>
      </c>
      <c r="D70" s="2" t="s">
        <v>236</v>
      </c>
      <c r="E70" s="2" t="s">
        <v>546</v>
      </c>
      <c r="F70" s="2" t="s">
        <v>238</v>
      </c>
      <c r="G70" s="2" t="n">
        <v>0</v>
      </c>
      <c r="H70" s="2" t="n">
        <v>2</v>
      </c>
      <c r="I70" s="2" t="n">
        <v>0</v>
      </c>
      <c r="J70" s="35" t="n">
        <v>15</v>
      </c>
      <c r="K70" s="6" t="n">
        <f aca="false">J70*Supuestos!D$5</f>
        <v>900</v>
      </c>
      <c r="L70" s="6" t="n">
        <f aca="false">IF(OR(U70="Resistors",U70="Capacitors"),ROUNDUP(K70*Supuestos!$B$16,0)+Supuestos!$B$17,ROUNDUP(K70*Supuestos!$B$18,0)+Supuestos!$B$19)</f>
        <v>23</v>
      </c>
      <c r="M70" s="6" t="n">
        <f aca="false">K70+L70</f>
        <v>923</v>
      </c>
      <c r="N70" s="33" t="n">
        <v>0.0035</v>
      </c>
      <c r="O70" s="22" t="n">
        <v>34860781</v>
      </c>
      <c r="P70" s="6" t="n">
        <f aca="false">SUMIF(BOM_V56!$B:$B,B70,BOM_V56!$M:$M)+SUMIF(BOM_V57!$B:$B,B70,BOM_V57!$M:$M)+SUMIF(BOM_v6!$B:$B,B70,BOM_v6!$M:$M)</f>
        <v>1444</v>
      </c>
      <c r="Q70" s="2" t="str">
        <f aca="false">IF(P70&gt;O70,"SÍ","")</f>
        <v/>
      </c>
      <c r="R70" s="38" t="n">
        <f aca="false">N70*(1+IF(Q70="SÍ",Supuestos!$B$14,0))</f>
        <v>0.0035</v>
      </c>
      <c r="S70" s="10" t="n">
        <f aca="false">M70*R70</f>
        <v>3.2305</v>
      </c>
      <c r="T70" s="2"/>
      <c r="U70" s="2" t="s">
        <v>239</v>
      </c>
    </row>
    <row r="71" customFormat="false" ht="15" hidden="false" customHeight="false" outlineLevel="0" collapsed="false">
      <c r="A71" s="2" t="s">
        <v>759</v>
      </c>
      <c r="B71" s="2" t="s">
        <v>501</v>
      </c>
      <c r="C71" s="2" t="s">
        <v>502</v>
      </c>
      <c r="D71" s="2" t="s">
        <v>236</v>
      </c>
      <c r="E71" s="2" t="s">
        <v>316</v>
      </c>
      <c r="F71" s="2" t="s">
        <v>238</v>
      </c>
      <c r="G71" s="2" t="n">
        <v>0</v>
      </c>
      <c r="H71" s="2" t="n">
        <v>2</v>
      </c>
      <c r="I71" s="2" t="n">
        <v>0</v>
      </c>
      <c r="J71" s="35" t="n">
        <v>3</v>
      </c>
      <c r="K71" s="6" t="n">
        <f aca="false">J71*Supuestos!D$5</f>
        <v>180</v>
      </c>
      <c r="L71" s="6" t="n">
        <f aca="false">IF(OR(U71="Resistors",U71="Capacitors"),ROUNDUP(K71*Supuestos!$B$16,0)+Supuestos!$B$17,ROUNDUP(K71*Supuestos!$B$18,0)+Supuestos!$B$19)</f>
        <v>9</v>
      </c>
      <c r="M71" s="6" t="n">
        <f aca="false">K71+L71</f>
        <v>189</v>
      </c>
      <c r="N71" s="33" t="n">
        <v>0.0146</v>
      </c>
      <c r="O71" s="22" t="n">
        <v>13331625</v>
      </c>
      <c r="P71" s="6" t="n">
        <f aca="false">SUMIF(BOM_V56!$B:$B,B71,BOM_V56!$M:$M)+SUMIF(BOM_V57!$B:$B,B71,BOM_V57!$M:$M)+SUMIF(BOM_v6!$B:$B,B71,BOM_v6!$M:$M)</f>
        <v>710</v>
      </c>
      <c r="Q71" s="2" t="str">
        <f aca="false">IF(P71&gt;O71,"SÍ","")</f>
        <v/>
      </c>
      <c r="R71" s="38" t="n">
        <f aca="false">N71*(1+IF(Q71="SÍ",Supuestos!$B$14,0))</f>
        <v>0.0146</v>
      </c>
      <c r="S71" s="10" t="n">
        <f aca="false">M71*R71</f>
        <v>2.7594</v>
      </c>
      <c r="T71" s="2"/>
      <c r="U71" s="2" t="s">
        <v>239</v>
      </c>
    </row>
    <row r="72" customFormat="false" ht="15" hidden="false" customHeight="false" outlineLevel="0" collapsed="false">
      <c r="A72" s="2" t="s">
        <v>760</v>
      </c>
      <c r="B72" s="2" t="s">
        <v>446</v>
      </c>
      <c r="C72" s="2" t="s">
        <v>447</v>
      </c>
      <c r="D72" s="2" t="s">
        <v>448</v>
      </c>
      <c r="E72" s="2" t="s">
        <v>316</v>
      </c>
      <c r="F72" s="2" t="s">
        <v>238</v>
      </c>
      <c r="G72" s="2" t="n">
        <v>0</v>
      </c>
      <c r="H72" s="2" t="n">
        <v>2</v>
      </c>
      <c r="I72" s="2" t="n">
        <v>0</v>
      </c>
      <c r="J72" s="35" t="n">
        <v>18</v>
      </c>
      <c r="K72" s="6" t="n">
        <f aca="false">J72*Supuestos!D$5</f>
        <v>1080</v>
      </c>
      <c r="L72" s="6" t="n">
        <f aca="false">IF(OR(U72="Resistors",U72="Capacitors"),ROUNDUP(K72*Supuestos!$B$16,0)+Supuestos!$B$17,ROUNDUP(K72*Supuestos!$B$18,0)+Supuestos!$B$19)</f>
        <v>27</v>
      </c>
      <c r="M72" s="6" t="n">
        <f aca="false">K72+L72</f>
        <v>1107</v>
      </c>
      <c r="N72" s="33" t="n">
        <v>0.0024</v>
      </c>
      <c r="O72" s="22" t="n">
        <v>17862685</v>
      </c>
      <c r="P72" s="6" t="n">
        <f aca="false">SUMIF(BOM_V56!$B:$B,B72,BOM_V56!$M:$M)+SUMIF(BOM_V57!$B:$B,B72,BOM_V57!$M:$M)+SUMIF(BOM_v6!$B:$B,B72,BOM_v6!$M:$M)</f>
        <v>7141</v>
      </c>
      <c r="Q72" s="2" t="str">
        <f aca="false">IF(P72&gt;O72,"SÍ","")</f>
        <v/>
      </c>
      <c r="R72" s="38" t="n">
        <f aca="false">N72*(1+IF(Q72="SÍ",Supuestos!$B$14,0))</f>
        <v>0.0024</v>
      </c>
      <c r="S72" s="10" t="n">
        <f aca="false">M72*R72</f>
        <v>2.6568</v>
      </c>
      <c r="T72" s="2"/>
      <c r="U72" s="2" t="s">
        <v>437</v>
      </c>
    </row>
    <row r="73" customFormat="false" ht="15" hidden="false" customHeight="false" outlineLevel="0" collapsed="false">
      <c r="A73" s="2" t="s">
        <v>761</v>
      </c>
      <c r="B73" s="2" t="s">
        <v>762</v>
      </c>
      <c r="C73" s="2" t="s">
        <v>763</v>
      </c>
      <c r="D73" s="2" t="s">
        <v>383</v>
      </c>
      <c r="E73" s="2" t="s">
        <v>764</v>
      </c>
      <c r="F73" s="2" t="s">
        <v>197</v>
      </c>
      <c r="G73" s="2" t="n">
        <v>0</v>
      </c>
      <c r="H73" s="2" t="n">
        <v>2</v>
      </c>
      <c r="I73" s="2" t="n">
        <v>0</v>
      </c>
      <c r="J73" s="35" t="n">
        <v>1</v>
      </c>
      <c r="K73" s="6" t="n">
        <f aca="false">J73*Supuestos!D$5</f>
        <v>60</v>
      </c>
      <c r="L73" s="6" t="n">
        <f aca="false">IF(OR(U73="Resistors",U73="Capacitors"),ROUNDUP(K73*Supuestos!$B$16,0)+Supuestos!$B$17,ROUNDUP(K73*Supuestos!$B$18,0)+Supuestos!$B$19)</f>
        <v>2</v>
      </c>
      <c r="M73" s="6" t="n">
        <f aca="false">K73+L73</f>
        <v>62</v>
      </c>
      <c r="N73" s="33" t="n">
        <v>0.0413</v>
      </c>
      <c r="O73" s="22" t="n">
        <v>511214</v>
      </c>
      <c r="P73" s="6" t="n">
        <f aca="false">SUMIF(BOM_V56!$B:$B,B73,BOM_V56!$M:$M)+SUMIF(BOM_V57!$B:$B,B73,BOM_V57!$M:$M)+SUMIF(BOM_v6!$B:$B,B73,BOM_v6!$M:$M)</f>
        <v>62</v>
      </c>
      <c r="Q73" s="2" t="str">
        <f aca="false">IF(P73&gt;O73,"SÍ","")</f>
        <v/>
      </c>
      <c r="R73" s="38" t="n">
        <f aca="false">N73*(1+IF(Q73="SÍ",Supuestos!$B$14,0))</f>
        <v>0.0413</v>
      </c>
      <c r="S73" s="10" t="n">
        <f aca="false">M73*R73</f>
        <v>2.5606</v>
      </c>
      <c r="T73" s="2"/>
      <c r="U73" s="2" t="s">
        <v>370</v>
      </c>
    </row>
    <row r="74" customFormat="false" ht="15" hidden="false" customHeight="false" outlineLevel="0" collapsed="false">
      <c r="A74" s="2" t="s">
        <v>624</v>
      </c>
      <c r="B74" s="2" t="s">
        <v>434</v>
      </c>
      <c r="C74" s="2" t="s">
        <v>435</v>
      </c>
      <c r="D74" s="2" t="s">
        <v>436</v>
      </c>
      <c r="E74" s="2" t="s">
        <v>345</v>
      </c>
      <c r="F74" s="2" t="s">
        <v>197</v>
      </c>
      <c r="G74" s="2" t="n">
        <v>0</v>
      </c>
      <c r="H74" s="2" t="n">
        <v>2</v>
      </c>
      <c r="I74" s="2" t="n">
        <v>0</v>
      </c>
      <c r="J74" s="35" t="n">
        <v>1</v>
      </c>
      <c r="K74" s="6" t="n">
        <f aca="false">J74*Supuestos!D$5</f>
        <v>60</v>
      </c>
      <c r="L74" s="6" t="n">
        <f aca="false">IF(OR(U74="Resistors",U74="Capacitors"),ROUNDUP(K74*Supuestos!$B$16,0)+Supuestos!$B$17,ROUNDUP(K74*Supuestos!$B$18,0)+Supuestos!$B$19)</f>
        <v>7</v>
      </c>
      <c r="M74" s="6" t="n">
        <f aca="false">K74+L74</f>
        <v>67</v>
      </c>
      <c r="N74" s="33" t="n">
        <v>0.0397</v>
      </c>
      <c r="O74" s="22" t="n">
        <v>182655</v>
      </c>
      <c r="P74" s="6" t="n">
        <f aca="false">SUMIF(BOM_V56!$B:$B,B74,BOM_V56!$M:$M)+SUMIF(BOM_V57!$B:$B,B74,BOM_V57!$M:$M)+SUMIF(BOM_v6!$B:$B,B74,BOM_v6!$M:$M)</f>
        <v>588</v>
      </c>
      <c r="Q74" s="2" t="str">
        <f aca="false">IF(P74&gt;O74,"SÍ","")</f>
        <v/>
      </c>
      <c r="R74" s="38" t="n">
        <f aca="false">N74*(1+IF(Q74="SÍ",Supuestos!$B$14,0))</f>
        <v>0.0397</v>
      </c>
      <c r="S74" s="10" t="n">
        <f aca="false">M74*R74</f>
        <v>2.6599</v>
      </c>
      <c r="T74" s="2"/>
      <c r="U74" s="2" t="s">
        <v>437</v>
      </c>
    </row>
    <row r="75" customFormat="false" ht="15" hidden="false" customHeight="false" outlineLevel="0" collapsed="false">
      <c r="A75" s="2" t="s">
        <v>765</v>
      </c>
      <c r="B75" s="2" t="s">
        <v>439</v>
      </c>
      <c r="C75" s="2" t="s">
        <v>440</v>
      </c>
      <c r="D75" s="2" t="s">
        <v>441</v>
      </c>
      <c r="E75" s="2" t="s">
        <v>379</v>
      </c>
      <c r="F75" s="2" t="s">
        <v>197</v>
      </c>
      <c r="G75" s="2" t="n">
        <v>0</v>
      </c>
      <c r="H75" s="2" t="n">
        <v>3</v>
      </c>
      <c r="I75" s="2" t="n">
        <v>0</v>
      </c>
      <c r="J75" s="35" t="n">
        <v>1</v>
      </c>
      <c r="K75" s="6" t="n">
        <f aca="false">J75*Supuestos!D$5</f>
        <v>60</v>
      </c>
      <c r="L75" s="6" t="n">
        <f aca="false">IF(OR(U75="Resistors",U75="Capacitors"),ROUNDUP(K75*Supuestos!$B$16,0)+Supuestos!$B$17,ROUNDUP(K75*Supuestos!$B$18,0)+Supuestos!$B$19)</f>
        <v>2</v>
      </c>
      <c r="M75" s="6" t="n">
        <f aca="false">K75+L75</f>
        <v>62</v>
      </c>
      <c r="N75" s="33" t="n">
        <v>0.0352</v>
      </c>
      <c r="O75" s="22" t="n">
        <v>31023</v>
      </c>
      <c r="P75" s="6" t="n">
        <f aca="false">SUMIF(BOM_V56!$B:$B,B75,BOM_V56!$M:$M)+SUMIF(BOM_V57!$B:$B,B75,BOM_V57!$M:$M)+SUMIF(BOM_v6!$B:$B,B75,BOM_v6!$M:$M)</f>
        <v>570</v>
      </c>
      <c r="Q75" s="2" t="str">
        <f aca="false">IF(P75&gt;O75,"SÍ","")</f>
        <v/>
      </c>
      <c r="R75" s="38" t="n">
        <f aca="false">N75*(1+IF(Q75="SÍ",Supuestos!$B$14,0))</f>
        <v>0.0352</v>
      </c>
      <c r="S75" s="10" t="n">
        <f aca="false">M75*R75</f>
        <v>2.1824</v>
      </c>
      <c r="T75" s="2"/>
      <c r="U75" s="2" t="s">
        <v>385</v>
      </c>
    </row>
    <row r="76" customFormat="false" ht="15" hidden="false" customHeight="false" outlineLevel="0" collapsed="false">
      <c r="A76" s="2" t="s">
        <v>442</v>
      </c>
      <c r="B76" s="2" t="s">
        <v>443</v>
      </c>
      <c r="C76" s="2" t="s">
        <v>444</v>
      </c>
      <c r="D76" s="2" t="s">
        <v>236</v>
      </c>
      <c r="E76" s="2" t="s">
        <v>237</v>
      </c>
      <c r="F76" s="2" t="s">
        <v>238</v>
      </c>
      <c r="G76" s="2" t="n">
        <v>0</v>
      </c>
      <c r="H76" s="2" t="n">
        <v>2</v>
      </c>
      <c r="I76" s="2" t="n">
        <v>0</v>
      </c>
      <c r="J76" s="35" t="n">
        <v>1</v>
      </c>
      <c r="K76" s="6" t="n">
        <f aca="false">J76*Supuestos!D$5</f>
        <v>60</v>
      </c>
      <c r="L76" s="6" t="n">
        <f aca="false">IF(OR(U76="Resistors",U76="Capacitors"),ROUNDUP(K76*Supuestos!$B$16,0)+Supuestos!$B$17,ROUNDUP(K76*Supuestos!$B$18,0)+Supuestos!$B$19)</f>
        <v>7</v>
      </c>
      <c r="M76" s="6" t="n">
        <f aca="false">K76+L76</f>
        <v>67</v>
      </c>
      <c r="N76" s="33" t="n">
        <v>0.0343</v>
      </c>
      <c r="O76" s="22" t="n">
        <v>1977922</v>
      </c>
      <c r="P76" s="6" t="n">
        <f aca="false">SUMIF(BOM_V56!$B:$B,B76,BOM_V56!$M:$M)+SUMIF(BOM_V57!$B:$B,B76,BOM_V57!$M:$M)+SUMIF(BOM_v6!$B:$B,B76,BOM_v6!$M:$M)</f>
        <v>588</v>
      </c>
      <c r="Q76" s="2" t="str">
        <f aca="false">IF(P76&gt;O76,"SÍ","")</f>
        <v/>
      </c>
      <c r="R76" s="38" t="n">
        <f aca="false">N76*(1+IF(Q76="SÍ",Supuestos!$B$14,0))</f>
        <v>0.0343</v>
      </c>
      <c r="S76" s="10" t="n">
        <f aca="false">M76*R76</f>
        <v>2.2981</v>
      </c>
      <c r="T76" s="2"/>
      <c r="U76" s="2" t="s">
        <v>239</v>
      </c>
    </row>
    <row r="77" customFormat="false" ht="15" hidden="false" customHeight="false" outlineLevel="0" collapsed="false">
      <c r="A77" s="2" t="s">
        <v>471</v>
      </c>
      <c r="B77" s="2" t="s">
        <v>766</v>
      </c>
      <c r="C77" s="2" t="s">
        <v>767</v>
      </c>
      <c r="D77" s="2" t="s">
        <v>455</v>
      </c>
      <c r="E77" s="2" t="s">
        <v>379</v>
      </c>
      <c r="F77" s="2" t="s">
        <v>238</v>
      </c>
      <c r="G77" s="2" t="n">
        <v>0</v>
      </c>
      <c r="H77" s="2" t="n">
        <v>3</v>
      </c>
      <c r="I77" s="2" t="n">
        <v>0</v>
      </c>
      <c r="J77" s="35" t="n">
        <v>2</v>
      </c>
      <c r="K77" s="6" t="n">
        <f aca="false">J77*Supuestos!D$5</f>
        <v>120</v>
      </c>
      <c r="L77" s="6" t="n">
        <f aca="false">IF(OR(U77="Resistors",U77="Capacitors"),ROUNDUP(K77*Supuestos!$B$16,0)+Supuestos!$B$17,ROUNDUP(K77*Supuestos!$B$18,0)+Supuestos!$B$19)</f>
        <v>3</v>
      </c>
      <c r="M77" s="6" t="n">
        <f aca="false">K77+L77</f>
        <v>123</v>
      </c>
      <c r="N77" s="33" t="n">
        <v>0.0161</v>
      </c>
      <c r="O77" s="22" t="n">
        <v>2857053</v>
      </c>
      <c r="P77" s="6" t="n">
        <f aca="false">SUMIF(BOM_V56!$B:$B,B77,BOM_V56!$M:$M)+SUMIF(BOM_V57!$B:$B,B77,BOM_V57!$M:$M)+SUMIF(BOM_v6!$B:$B,B77,BOM_v6!$M:$M)</f>
        <v>123</v>
      </c>
      <c r="Q77" s="2" t="str">
        <f aca="false">IF(P77&gt;O77,"SÍ","")</f>
        <v/>
      </c>
      <c r="R77" s="38" t="n">
        <f aca="false">N77*(1+IF(Q77="SÍ",Supuestos!$B$14,0))</f>
        <v>0.0161</v>
      </c>
      <c r="S77" s="10" t="n">
        <f aca="false">M77*R77</f>
        <v>1.9803</v>
      </c>
      <c r="T77" s="2"/>
      <c r="U77" s="2" t="s">
        <v>291</v>
      </c>
    </row>
    <row r="78" customFormat="false" ht="15" hidden="false" customHeight="false" outlineLevel="0" collapsed="false">
      <c r="A78" s="2" t="s">
        <v>768</v>
      </c>
      <c r="B78" s="2" t="s">
        <v>461</v>
      </c>
      <c r="C78" s="2" t="s">
        <v>462</v>
      </c>
      <c r="D78" s="2" t="s">
        <v>448</v>
      </c>
      <c r="E78" s="2" t="s">
        <v>316</v>
      </c>
      <c r="F78" s="2" t="s">
        <v>238</v>
      </c>
      <c r="G78" s="2" t="n">
        <v>0</v>
      </c>
      <c r="H78" s="2" t="n">
        <v>2</v>
      </c>
      <c r="I78" s="2" t="n">
        <v>0</v>
      </c>
      <c r="J78" s="35" t="n">
        <v>15</v>
      </c>
      <c r="K78" s="6" t="n">
        <f aca="false">J78*Supuestos!D$5</f>
        <v>900</v>
      </c>
      <c r="L78" s="6" t="n">
        <f aca="false">IF(OR(U78="Resistors",U78="Capacitors"),ROUNDUP(K78*Supuestos!$B$16,0)+Supuestos!$B$17,ROUNDUP(K78*Supuestos!$B$18,0)+Supuestos!$B$19)</f>
        <v>23</v>
      </c>
      <c r="M78" s="6" t="n">
        <f aca="false">K78+L78</f>
        <v>923</v>
      </c>
      <c r="N78" s="33" t="n">
        <v>0.0021</v>
      </c>
      <c r="O78" s="22" t="n">
        <v>39448110</v>
      </c>
      <c r="P78" s="6" t="n">
        <f aca="false">SUMIF(BOM_V56!$B:$B,B78,BOM_V56!$M:$M)+SUMIF(BOM_V57!$B:$B,B78,BOM_V57!$M:$M)+SUMIF(BOM_v6!$B:$B,B78,BOM_v6!$M:$M)</f>
        <v>8584</v>
      </c>
      <c r="Q78" s="2" t="str">
        <f aca="false">IF(P78&gt;O78,"SÍ","")</f>
        <v/>
      </c>
      <c r="R78" s="38" t="n">
        <f aca="false">N78*(1+IF(Q78="SÍ",Supuestos!$B$14,0))</f>
        <v>0.0021</v>
      </c>
      <c r="S78" s="10" t="n">
        <f aca="false">M78*R78</f>
        <v>1.9383</v>
      </c>
      <c r="T78" s="2"/>
      <c r="U78" s="2" t="s">
        <v>437</v>
      </c>
    </row>
    <row r="79" customFormat="false" ht="15" hidden="false" customHeight="false" outlineLevel="0" collapsed="false">
      <c r="A79" s="2" t="s">
        <v>769</v>
      </c>
      <c r="B79" s="2" t="s">
        <v>453</v>
      </c>
      <c r="C79" s="2" t="s">
        <v>454</v>
      </c>
      <c r="D79" s="2" t="s">
        <v>455</v>
      </c>
      <c r="E79" s="2" t="s">
        <v>456</v>
      </c>
      <c r="F79" s="2" t="s">
        <v>197</v>
      </c>
      <c r="G79" s="2" t="n">
        <v>0</v>
      </c>
      <c r="H79" s="2" t="n">
        <v>2</v>
      </c>
      <c r="I79" s="2" t="n">
        <v>0</v>
      </c>
      <c r="J79" s="35" t="n">
        <v>1</v>
      </c>
      <c r="K79" s="6" t="n">
        <f aca="false">J79*Supuestos!D$5</f>
        <v>60</v>
      </c>
      <c r="L79" s="6" t="n">
        <f aca="false">IF(OR(U79="Resistors",U79="Capacitors"),ROUNDUP(K79*Supuestos!$B$16,0)+Supuestos!$B$17,ROUNDUP(K79*Supuestos!$B$18,0)+Supuestos!$B$19)</f>
        <v>2</v>
      </c>
      <c r="M79" s="6" t="n">
        <f aca="false">K79+L79</f>
        <v>62</v>
      </c>
      <c r="N79" s="33" t="n">
        <v>0.0271</v>
      </c>
      <c r="O79" s="22" t="n">
        <v>551</v>
      </c>
      <c r="P79" s="6" t="n">
        <f aca="false">SUMIF(BOM_V56!$B:$B,B79,BOM_V56!$M:$M)+SUMIF(BOM_V57!$B:$B,B79,BOM_V57!$M:$M)+SUMIF(BOM_v6!$B:$B,B79,BOM_v6!$M:$M)</f>
        <v>570</v>
      </c>
      <c r="Q79" s="2" t="str">
        <f aca="false">IF(P79&gt;O79,"SÍ","")</f>
        <v>SÍ</v>
      </c>
      <c r="R79" s="38" t="n">
        <f aca="false">N79*(1+IF(Q79="SÍ",Supuestos!$B$14,0))</f>
        <v>0.031165</v>
      </c>
      <c r="S79" s="10" t="n">
        <f aca="false">M79*R79</f>
        <v>1.93223</v>
      </c>
      <c r="T79" s="2"/>
      <c r="U79" s="2" t="s">
        <v>385</v>
      </c>
    </row>
    <row r="80" customFormat="false" ht="15" hidden="false" customHeight="false" outlineLevel="0" collapsed="false">
      <c r="A80" s="2" t="s">
        <v>770</v>
      </c>
      <c r="B80" s="2" t="s">
        <v>771</v>
      </c>
      <c r="C80" s="2" t="s">
        <v>772</v>
      </c>
      <c r="D80" s="2" t="s">
        <v>773</v>
      </c>
      <c r="E80" s="2" t="s">
        <v>316</v>
      </c>
      <c r="F80" s="2" t="s">
        <v>197</v>
      </c>
      <c r="G80" s="2" t="n">
        <v>0</v>
      </c>
      <c r="H80" s="2" t="n">
        <v>2</v>
      </c>
      <c r="I80" s="2" t="n">
        <v>0</v>
      </c>
      <c r="J80" s="35" t="n">
        <v>4</v>
      </c>
      <c r="K80" s="6" t="n">
        <f aca="false">J80*Supuestos!D$5</f>
        <v>240</v>
      </c>
      <c r="L80" s="6" t="n">
        <f aca="false">IF(OR(U80="Resistors",U80="Capacitors"),ROUNDUP(K80*Supuestos!$B$16,0)+Supuestos!$B$17,ROUNDUP(K80*Supuestos!$B$18,0)+Supuestos!$B$19)</f>
        <v>10</v>
      </c>
      <c r="M80" s="6" t="n">
        <f aca="false">K80+L80</f>
        <v>250</v>
      </c>
      <c r="N80" s="33" t="n">
        <v>0.0075</v>
      </c>
      <c r="O80" s="22" t="n">
        <v>14028</v>
      </c>
      <c r="P80" s="6" t="n">
        <f aca="false">SUMIF(BOM_V56!$B:$B,B80,BOM_V56!$M:$M)+SUMIF(BOM_V57!$B:$B,B80,BOM_V57!$M:$M)+SUMIF(BOM_v6!$B:$B,B80,BOM_v6!$M:$M)</f>
        <v>250</v>
      </c>
      <c r="Q80" s="2" t="str">
        <f aca="false">IF(P80&gt;O80,"SÍ","")</f>
        <v/>
      </c>
      <c r="R80" s="38" t="n">
        <f aca="false">N80*(1+IF(Q80="SÍ",Supuestos!$B$14,0))</f>
        <v>0.0075</v>
      </c>
      <c r="S80" s="10" t="n">
        <f aca="false">M80*R80</f>
        <v>1.875</v>
      </c>
      <c r="T80" s="2"/>
      <c r="U80" s="2" t="s">
        <v>437</v>
      </c>
    </row>
    <row r="81" customFormat="false" ht="15" hidden="false" customHeight="false" outlineLevel="0" collapsed="false">
      <c r="A81" s="2" t="s">
        <v>774</v>
      </c>
      <c r="B81" s="2" t="s">
        <v>464</v>
      </c>
      <c r="C81" s="2" t="s">
        <v>465</v>
      </c>
      <c r="D81" s="2" t="s">
        <v>236</v>
      </c>
      <c r="E81" s="2" t="s">
        <v>316</v>
      </c>
      <c r="F81" s="2" t="s">
        <v>238</v>
      </c>
      <c r="G81" s="2" t="n">
        <v>0</v>
      </c>
      <c r="H81" s="2" t="n">
        <v>2</v>
      </c>
      <c r="I81" s="2" t="n">
        <v>0</v>
      </c>
      <c r="J81" s="35" t="n">
        <v>2</v>
      </c>
      <c r="K81" s="6" t="n">
        <f aca="false">J81*Supuestos!D$5</f>
        <v>120</v>
      </c>
      <c r="L81" s="6" t="n">
        <f aca="false">IF(OR(U81="Resistors",U81="Capacitors"),ROUNDUP(K81*Supuestos!$B$16,0)+Supuestos!$B$17,ROUNDUP(K81*Supuestos!$B$18,0)+Supuestos!$B$19)</f>
        <v>8</v>
      </c>
      <c r="M81" s="6" t="n">
        <f aca="false">K81+L81</f>
        <v>128</v>
      </c>
      <c r="N81" s="33" t="n">
        <v>0.0128</v>
      </c>
      <c r="O81" s="22" t="n">
        <v>3660729</v>
      </c>
      <c r="P81" s="6" t="n">
        <f aca="false">SUMIF(BOM_V56!$B:$B,B81,BOM_V56!$M:$M)+SUMIF(BOM_V57!$B:$B,B81,BOM_V57!$M:$M)+SUMIF(BOM_v6!$B:$B,B81,BOM_v6!$M:$M)</f>
        <v>1159</v>
      </c>
      <c r="Q81" s="2" t="str">
        <f aca="false">IF(P81&gt;O81,"SÍ","")</f>
        <v/>
      </c>
      <c r="R81" s="38" t="n">
        <f aca="false">N81*(1+IF(Q81="SÍ",Supuestos!$B$14,0))</f>
        <v>0.0128</v>
      </c>
      <c r="S81" s="10" t="n">
        <f aca="false">M81*R81</f>
        <v>1.6384</v>
      </c>
      <c r="T81" s="2"/>
      <c r="U81" s="2" t="s">
        <v>239</v>
      </c>
    </row>
    <row r="82" customFormat="false" ht="15" hidden="false" customHeight="false" outlineLevel="0" collapsed="false">
      <c r="A82" s="2" t="s">
        <v>775</v>
      </c>
      <c r="B82" s="2" t="s">
        <v>467</v>
      </c>
      <c r="C82" s="2" t="s">
        <v>468</v>
      </c>
      <c r="D82" s="2" t="s">
        <v>469</v>
      </c>
      <c r="E82" s="39" t="s">
        <v>470</v>
      </c>
      <c r="F82" s="2" t="s">
        <v>197</v>
      </c>
      <c r="G82" s="2" t="n">
        <v>1</v>
      </c>
      <c r="H82" s="2" t="n">
        <v>0</v>
      </c>
      <c r="I82" s="2" t="n">
        <v>4</v>
      </c>
      <c r="J82" s="35" t="n">
        <v>1</v>
      </c>
      <c r="K82" s="6" t="n">
        <f aca="false">J82*Supuestos!D$5</f>
        <v>60</v>
      </c>
      <c r="L82" s="6" t="n">
        <f aca="false">IF(OR(U82="Resistors",U82="Capacitors"),ROUNDUP(K82*Supuestos!$B$16,0)+Supuestos!$B$17,ROUNDUP(K82*Supuestos!$B$18,0)+Supuestos!$B$19)</f>
        <v>2</v>
      </c>
      <c r="M82" s="6" t="n">
        <f aca="false">K82+L82</f>
        <v>62</v>
      </c>
      <c r="N82" s="33" t="n">
        <v>0.0253</v>
      </c>
      <c r="O82" s="22" t="n">
        <v>32332</v>
      </c>
      <c r="P82" s="6" t="n">
        <f aca="false">SUMIF(BOM_V56!$B:$B,B82,BOM_V56!$M:$M)+SUMIF(BOM_V57!$B:$B,B82,BOM_V57!$M:$M)+SUMIF(BOM_v6!$B:$B,B82,BOM_v6!$M:$M)</f>
        <v>570</v>
      </c>
      <c r="Q82" s="2" t="str">
        <f aca="false">IF(P82&gt;O82,"SÍ","")</f>
        <v/>
      </c>
      <c r="R82" s="38" t="n">
        <f aca="false">N82*(1+IF(Q82="SÍ",Supuestos!$B$14,0))</f>
        <v>0.0253</v>
      </c>
      <c r="S82" s="10" t="n">
        <f aca="false">M82*R82</f>
        <v>1.5686</v>
      </c>
      <c r="T82" s="2"/>
      <c r="U82" s="2" t="s">
        <v>254</v>
      </c>
    </row>
    <row r="83" customFormat="false" ht="15" hidden="false" customHeight="false" outlineLevel="0" collapsed="false">
      <c r="A83" s="2" t="s">
        <v>776</v>
      </c>
      <c r="B83" s="2" t="s">
        <v>510</v>
      </c>
      <c r="C83" s="2" t="s">
        <v>511</v>
      </c>
      <c r="D83" s="2" t="s">
        <v>236</v>
      </c>
      <c r="E83" s="2" t="s">
        <v>316</v>
      </c>
      <c r="F83" s="2" t="s">
        <v>238</v>
      </c>
      <c r="G83" s="2" t="n">
        <v>0</v>
      </c>
      <c r="H83" s="2" t="n">
        <v>2</v>
      </c>
      <c r="I83" s="2" t="n">
        <v>0</v>
      </c>
      <c r="J83" s="35" t="n">
        <v>2</v>
      </c>
      <c r="K83" s="6" t="n">
        <f aca="false">J83*Supuestos!D$5</f>
        <v>120</v>
      </c>
      <c r="L83" s="6" t="n">
        <f aca="false">IF(OR(U83="Resistors",U83="Capacitors"),ROUNDUP(K83*Supuestos!$B$16,0)+Supuestos!$B$17,ROUNDUP(K83*Supuestos!$B$18,0)+Supuestos!$B$19)</f>
        <v>8</v>
      </c>
      <c r="M83" s="6" t="n">
        <f aca="false">K83+L83</f>
        <v>128</v>
      </c>
      <c r="N83" s="33" t="n">
        <v>0.0125</v>
      </c>
      <c r="O83" s="22" t="n">
        <v>3098644</v>
      </c>
      <c r="P83" s="6" t="n">
        <f aca="false">SUMIF(BOM_V56!$B:$B,B83,BOM_V56!$M:$M)+SUMIF(BOM_V57!$B:$B,B83,BOM_V57!$M:$M)+SUMIF(BOM_v6!$B:$B,B83,BOM_v6!$M:$M)</f>
        <v>649</v>
      </c>
      <c r="Q83" s="2" t="str">
        <f aca="false">IF(P83&gt;O83,"SÍ","")</f>
        <v/>
      </c>
      <c r="R83" s="38" t="n">
        <f aca="false">N83*(1+IF(Q83="SÍ",Supuestos!$B$14,0))</f>
        <v>0.0125</v>
      </c>
      <c r="S83" s="10" t="n">
        <f aca="false">M83*R83</f>
        <v>1.6</v>
      </c>
      <c r="T83" s="2"/>
      <c r="U83" s="2" t="s">
        <v>239</v>
      </c>
    </row>
    <row r="84" customFormat="false" ht="15" hidden="false" customHeight="false" outlineLevel="0" collapsed="false">
      <c r="A84" s="2" t="s">
        <v>777</v>
      </c>
      <c r="B84" s="2" t="s">
        <v>472</v>
      </c>
      <c r="C84" s="2" t="s">
        <v>473</v>
      </c>
      <c r="D84" s="2" t="s">
        <v>455</v>
      </c>
      <c r="E84" s="2" t="s">
        <v>379</v>
      </c>
      <c r="F84" s="2" t="s">
        <v>238</v>
      </c>
      <c r="G84" s="2" t="n">
        <v>0</v>
      </c>
      <c r="H84" s="2" t="n">
        <v>3</v>
      </c>
      <c r="I84" s="2" t="n">
        <v>0</v>
      </c>
      <c r="J84" s="35" t="n">
        <v>2</v>
      </c>
      <c r="K84" s="6" t="n">
        <f aca="false">J84*Supuestos!D$5</f>
        <v>120</v>
      </c>
      <c r="L84" s="6" t="n">
        <f aca="false">IF(OR(U84="Resistors",U84="Capacitors"),ROUNDUP(K84*Supuestos!$B$16,0)+Supuestos!$B$17,ROUNDUP(K84*Supuestos!$B$18,0)+Supuestos!$B$19)</f>
        <v>3</v>
      </c>
      <c r="M84" s="6" t="n">
        <f aca="false">K84+L84</f>
        <v>123</v>
      </c>
      <c r="N84" s="33" t="n">
        <v>0.0116</v>
      </c>
      <c r="O84" s="22" t="n">
        <v>2111143</v>
      </c>
      <c r="P84" s="6" t="n">
        <f aca="false">SUMIF(BOM_V56!$B:$B,B84,BOM_V56!$M:$M)+SUMIF(BOM_V57!$B:$B,B84,BOM_V57!$M:$M)+SUMIF(BOM_v6!$B:$B,B84,BOM_v6!$M:$M)</f>
        <v>1136</v>
      </c>
      <c r="Q84" s="2" t="str">
        <f aca="false">IF(P84&gt;O84,"SÍ","")</f>
        <v/>
      </c>
      <c r="R84" s="38" t="n">
        <f aca="false">N84*(1+IF(Q84="SÍ",Supuestos!$B$14,0))</f>
        <v>0.0116</v>
      </c>
      <c r="S84" s="10" t="n">
        <f aca="false">M84*R84</f>
        <v>1.4268</v>
      </c>
      <c r="T84" s="2"/>
      <c r="U84" s="2" t="s">
        <v>291</v>
      </c>
    </row>
    <row r="85" customFormat="false" ht="15" hidden="false" customHeight="false" outlineLevel="0" collapsed="false">
      <c r="A85" s="2" t="s">
        <v>778</v>
      </c>
      <c r="B85" s="2" t="s">
        <v>475</v>
      </c>
      <c r="C85" s="2" t="s">
        <v>476</v>
      </c>
      <c r="D85" s="2" t="s">
        <v>477</v>
      </c>
      <c r="E85" s="2" t="s">
        <v>316</v>
      </c>
      <c r="F85" s="2" t="s">
        <v>197</v>
      </c>
      <c r="G85" s="2" t="n">
        <v>0</v>
      </c>
      <c r="H85" s="2" t="n">
        <v>2</v>
      </c>
      <c r="I85" s="2" t="n">
        <v>0</v>
      </c>
      <c r="J85" s="35" t="n">
        <v>1</v>
      </c>
      <c r="K85" s="6" t="n">
        <f aca="false">J85*Supuestos!D$5</f>
        <v>60</v>
      </c>
      <c r="L85" s="6" t="n">
        <f aca="false">IF(OR(U85="Resistors",U85="Capacitors"),ROUNDUP(K85*Supuestos!$B$16,0)+Supuestos!$B$17,ROUNDUP(K85*Supuestos!$B$18,0)+Supuestos!$B$19)</f>
        <v>2</v>
      </c>
      <c r="M85" s="6" t="n">
        <f aca="false">K85+L85</f>
        <v>62</v>
      </c>
      <c r="N85" s="33" t="n">
        <v>0.0231</v>
      </c>
      <c r="O85" s="22" t="n">
        <v>120188</v>
      </c>
      <c r="P85" s="6" t="n">
        <f aca="false">SUMIF(BOM_V56!$B:$B,B85,BOM_V56!$M:$M)+SUMIF(BOM_V57!$B:$B,B85,BOM_V57!$M:$M)+SUMIF(BOM_v6!$B:$B,B85,BOM_v6!$M:$M)</f>
        <v>570</v>
      </c>
      <c r="Q85" s="2" t="str">
        <f aca="false">IF(P85&gt;O85,"SÍ","")</f>
        <v/>
      </c>
      <c r="R85" s="38" t="n">
        <f aca="false">N85*(1+IF(Q85="SÍ",Supuestos!$B$14,0))</f>
        <v>0.0231</v>
      </c>
      <c r="S85" s="10" t="n">
        <f aca="false">M85*R85</f>
        <v>1.4322</v>
      </c>
      <c r="T85" s="2"/>
      <c r="U85" s="2" t="s">
        <v>421</v>
      </c>
    </row>
    <row r="86" customFormat="false" ht="15" hidden="false" customHeight="false" outlineLevel="0" collapsed="false">
      <c r="A86" s="2" t="s">
        <v>779</v>
      </c>
      <c r="B86" s="2" t="s">
        <v>479</v>
      </c>
      <c r="C86" s="2" t="s">
        <v>480</v>
      </c>
      <c r="D86" s="2" t="s">
        <v>477</v>
      </c>
      <c r="E86" s="2" t="s">
        <v>316</v>
      </c>
      <c r="F86" s="2" t="s">
        <v>197</v>
      </c>
      <c r="G86" s="2" t="n">
        <v>0</v>
      </c>
      <c r="H86" s="2" t="n">
        <v>2</v>
      </c>
      <c r="I86" s="2" t="n">
        <v>0</v>
      </c>
      <c r="J86" s="35" t="n">
        <v>1</v>
      </c>
      <c r="K86" s="6" t="n">
        <f aca="false">J86*Supuestos!D$5</f>
        <v>60</v>
      </c>
      <c r="L86" s="6" t="n">
        <f aca="false">IF(OR(U86="Resistors",U86="Capacitors"),ROUNDUP(K86*Supuestos!$B$16,0)+Supuestos!$B$17,ROUNDUP(K86*Supuestos!$B$18,0)+Supuestos!$B$19)</f>
        <v>2</v>
      </c>
      <c r="M86" s="6" t="n">
        <f aca="false">K86+L86</f>
        <v>62</v>
      </c>
      <c r="N86" s="33" t="n">
        <v>0.023</v>
      </c>
      <c r="O86" s="22" t="n">
        <v>66503</v>
      </c>
      <c r="P86" s="6" t="n">
        <f aca="false">SUMIF(BOM_V56!$B:$B,B86,BOM_V56!$M:$M)+SUMIF(BOM_V57!$B:$B,B86,BOM_V57!$M:$M)+SUMIF(BOM_v6!$B:$B,B86,BOM_v6!$M:$M)</f>
        <v>570</v>
      </c>
      <c r="Q86" s="2" t="str">
        <f aca="false">IF(P86&gt;O86,"SÍ","")</f>
        <v/>
      </c>
      <c r="R86" s="38" t="n">
        <f aca="false">N86*(1+IF(Q86="SÍ",Supuestos!$B$14,0))</f>
        <v>0.023</v>
      </c>
      <c r="S86" s="10" t="n">
        <f aca="false">M86*R86</f>
        <v>1.426</v>
      </c>
      <c r="T86" s="2"/>
      <c r="U86" s="2" t="s">
        <v>421</v>
      </c>
    </row>
    <row r="87" customFormat="false" ht="15" hidden="false" customHeight="false" outlineLevel="0" collapsed="false">
      <c r="A87" s="2" t="s">
        <v>780</v>
      </c>
      <c r="B87" s="2" t="s">
        <v>482</v>
      </c>
      <c r="C87" s="2" t="s">
        <v>483</v>
      </c>
      <c r="D87" s="2" t="s">
        <v>236</v>
      </c>
      <c r="E87" s="2" t="s">
        <v>316</v>
      </c>
      <c r="F87" s="2" t="s">
        <v>238</v>
      </c>
      <c r="G87" s="2" t="n">
        <v>0</v>
      </c>
      <c r="H87" s="2" t="n">
        <v>2</v>
      </c>
      <c r="I87" s="2" t="n">
        <v>0</v>
      </c>
      <c r="J87" s="35" t="n">
        <v>2</v>
      </c>
      <c r="K87" s="6" t="n">
        <f aca="false">J87*Supuestos!D$5</f>
        <v>120</v>
      </c>
      <c r="L87" s="6" t="n">
        <f aca="false">IF(OR(U87="Resistors",U87="Capacitors"),ROUNDUP(K87*Supuestos!$B$16,0)+Supuestos!$B$17,ROUNDUP(K87*Supuestos!$B$18,0)+Supuestos!$B$19)</f>
        <v>8</v>
      </c>
      <c r="M87" s="6" t="n">
        <f aca="false">K87+L87</f>
        <v>128</v>
      </c>
      <c r="N87" s="33" t="n">
        <v>0.0112</v>
      </c>
      <c r="O87" s="22" t="n">
        <v>637117</v>
      </c>
      <c r="P87" s="6" t="n">
        <f aca="false">SUMIF(BOM_V56!$B:$B,B87,BOM_V56!$M:$M)+SUMIF(BOM_V57!$B:$B,B87,BOM_V57!$M:$M)+SUMIF(BOM_v6!$B:$B,B87,BOM_v6!$M:$M)</f>
        <v>1159</v>
      </c>
      <c r="Q87" s="2" t="str">
        <f aca="false">IF(P87&gt;O87,"SÍ","")</f>
        <v/>
      </c>
      <c r="R87" s="38" t="n">
        <f aca="false">N87*(1+IF(Q87="SÍ",Supuestos!$B$14,0))</f>
        <v>0.0112</v>
      </c>
      <c r="S87" s="10" t="n">
        <f aca="false">M87*R87</f>
        <v>1.4336</v>
      </c>
      <c r="T87" s="2"/>
      <c r="U87" s="2" t="s">
        <v>239</v>
      </c>
    </row>
    <row r="88" customFormat="false" ht="15" hidden="false" customHeight="false" outlineLevel="0" collapsed="false">
      <c r="A88" s="2" t="s">
        <v>781</v>
      </c>
      <c r="B88" s="2" t="s">
        <v>782</v>
      </c>
      <c r="C88" s="2" t="s">
        <v>783</v>
      </c>
      <c r="D88" s="2" t="s">
        <v>236</v>
      </c>
      <c r="E88" s="2" t="s">
        <v>316</v>
      </c>
      <c r="F88" s="2" t="s">
        <v>197</v>
      </c>
      <c r="G88" s="2" t="n">
        <v>0</v>
      </c>
      <c r="H88" s="2" t="n">
        <v>2</v>
      </c>
      <c r="I88" s="2" t="n">
        <v>0</v>
      </c>
      <c r="J88" s="35" t="n">
        <v>3</v>
      </c>
      <c r="K88" s="6" t="n">
        <f aca="false">J88*Supuestos!D$5</f>
        <v>180</v>
      </c>
      <c r="L88" s="6" t="n">
        <f aca="false">IF(OR(U88="Resistors",U88="Capacitors"),ROUNDUP(K88*Supuestos!$B$16,0)+Supuestos!$B$17,ROUNDUP(K88*Supuestos!$B$18,0)+Supuestos!$B$19)</f>
        <v>9</v>
      </c>
      <c r="M88" s="6" t="n">
        <f aca="false">K88+L88</f>
        <v>189</v>
      </c>
      <c r="N88" s="33" t="n">
        <v>0.0074</v>
      </c>
      <c r="O88" s="22" t="n">
        <v>2152998</v>
      </c>
      <c r="P88" s="6" t="n">
        <f aca="false">SUMIF(BOM_V56!$B:$B,B88,BOM_V56!$M:$M)+SUMIF(BOM_V57!$B:$B,B88,BOM_V57!$M:$M)+SUMIF(BOM_v6!$B:$B,B88,BOM_v6!$M:$M)</f>
        <v>189</v>
      </c>
      <c r="Q88" s="2" t="str">
        <f aca="false">IF(P88&gt;O88,"SÍ","")</f>
        <v/>
      </c>
      <c r="R88" s="38" t="n">
        <f aca="false">N88*(1+IF(Q88="SÍ",Supuestos!$B$14,0))</f>
        <v>0.0074</v>
      </c>
      <c r="S88" s="10" t="n">
        <f aca="false">M88*R88</f>
        <v>1.3986</v>
      </c>
      <c r="T88" s="2"/>
      <c r="U88" s="2" t="s">
        <v>239</v>
      </c>
    </row>
    <row r="89" customFormat="false" ht="15" hidden="false" customHeight="false" outlineLevel="0" collapsed="false">
      <c r="A89" s="2" t="s">
        <v>484</v>
      </c>
      <c r="B89" s="2" t="s">
        <v>784</v>
      </c>
      <c r="C89" s="2" t="s">
        <v>785</v>
      </c>
      <c r="D89" s="2" t="s">
        <v>236</v>
      </c>
      <c r="E89" s="2" t="s">
        <v>316</v>
      </c>
      <c r="F89" s="2" t="s">
        <v>238</v>
      </c>
      <c r="G89" s="2" t="n">
        <v>0</v>
      </c>
      <c r="H89" s="2" t="n">
        <v>2</v>
      </c>
      <c r="I89" s="2" t="n">
        <v>0</v>
      </c>
      <c r="J89" s="35" t="n">
        <v>2</v>
      </c>
      <c r="K89" s="6" t="n">
        <f aca="false">J89*Supuestos!D$5</f>
        <v>120</v>
      </c>
      <c r="L89" s="6" t="n">
        <f aca="false">IF(OR(U89="Resistors",U89="Capacitors"),ROUNDUP(K89*Supuestos!$B$16,0)+Supuestos!$B$17,ROUNDUP(K89*Supuestos!$B$18,0)+Supuestos!$B$19)</f>
        <v>8</v>
      </c>
      <c r="M89" s="6" t="n">
        <f aca="false">K89+L89</f>
        <v>128</v>
      </c>
      <c r="N89" s="33" t="n">
        <v>0.009</v>
      </c>
      <c r="O89" s="22" t="n">
        <v>1172574</v>
      </c>
      <c r="P89" s="6" t="n">
        <f aca="false">SUMIF(BOM_V56!$B:$B,B89,BOM_V56!$M:$M)+SUMIF(BOM_V57!$B:$B,B89,BOM_V57!$M:$M)+SUMIF(BOM_v6!$B:$B,B89,BOM_v6!$M:$M)</f>
        <v>128</v>
      </c>
      <c r="Q89" s="2" t="str">
        <f aca="false">IF(P89&gt;O89,"SÍ","")</f>
        <v/>
      </c>
      <c r="R89" s="38" t="n">
        <f aca="false">N89*(1+IF(Q89="SÍ",Supuestos!$B$14,0))</f>
        <v>0.009</v>
      </c>
      <c r="S89" s="10" t="n">
        <f aca="false">M89*R89</f>
        <v>1.152</v>
      </c>
      <c r="T89" s="2"/>
      <c r="U89" s="2" t="s">
        <v>239</v>
      </c>
    </row>
    <row r="90" customFormat="false" ht="15" hidden="false" customHeight="false" outlineLevel="0" collapsed="false">
      <c r="A90" s="2" t="s">
        <v>786</v>
      </c>
      <c r="B90" s="2" t="s">
        <v>504</v>
      </c>
      <c r="C90" s="2" t="s">
        <v>505</v>
      </c>
      <c r="D90" s="2" t="s">
        <v>448</v>
      </c>
      <c r="E90" s="2" t="s">
        <v>316</v>
      </c>
      <c r="F90" s="2" t="s">
        <v>238</v>
      </c>
      <c r="G90" s="2" t="n">
        <v>0</v>
      </c>
      <c r="H90" s="2" t="n">
        <v>2</v>
      </c>
      <c r="I90" s="2" t="n">
        <v>0</v>
      </c>
      <c r="J90" s="35" t="n">
        <v>9</v>
      </c>
      <c r="K90" s="6" t="n">
        <f aca="false">J90*Supuestos!D$5</f>
        <v>540</v>
      </c>
      <c r="L90" s="6" t="n">
        <f aca="false">IF(OR(U90="Resistors",U90="Capacitors"),ROUNDUP(K90*Supuestos!$B$16,0)+Supuestos!$B$17,ROUNDUP(K90*Supuestos!$B$18,0)+Supuestos!$B$19)</f>
        <v>16</v>
      </c>
      <c r="M90" s="6" t="n">
        <f aca="false">K90+L90</f>
        <v>556</v>
      </c>
      <c r="N90" s="33" t="n">
        <v>0.0019</v>
      </c>
      <c r="O90" s="22" t="n">
        <v>2349853</v>
      </c>
      <c r="P90" s="6" t="n">
        <f aca="false">SUMIF(BOM_V56!$B:$B,B90,BOM_V56!$M:$M)+SUMIF(BOM_V57!$B:$B,B90,BOM_V57!$M:$M)+SUMIF(BOM_v6!$B:$B,B90,BOM_v6!$M:$M)</f>
        <v>5157</v>
      </c>
      <c r="Q90" s="2" t="str">
        <f aca="false">IF(P90&gt;O90,"SÍ","")</f>
        <v/>
      </c>
      <c r="R90" s="38" t="n">
        <f aca="false">N90*(1+IF(Q90="SÍ",Supuestos!$B$14,0))</f>
        <v>0.0019</v>
      </c>
      <c r="S90" s="10" t="n">
        <f aca="false">M90*R90</f>
        <v>1.0564</v>
      </c>
      <c r="T90" s="2"/>
      <c r="U90" s="2" t="s">
        <v>437</v>
      </c>
    </row>
    <row r="91" customFormat="false" ht="15" hidden="false" customHeight="false" outlineLevel="0" collapsed="false">
      <c r="A91" s="2" t="s">
        <v>787</v>
      </c>
      <c r="B91" s="2" t="s">
        <v>498</v>
      </c>
      <c r="C91" s="2" t="s">
        <v>499</v>
      </c>
      <c r="D91" s="2" t="s">
        <v>236</v>
      </c>
      <c r="E91" s="2" t="s">
        <v>316</v>
      </c>
      <c r="F91" s="2" t="s">
        <v>238</v>
      </c>
      <c r="G91" s="2" t="n">
        <v>0</v>
      </c>
      <c r="H91" s="2" t="n">
        <v>2</v>
      </c>
      <c r="I91" s="2" t="n">
        <v>0</v>
      </c>
      <c r="J91" s="35" t="n">
        <v>2</v>
      </c>
      <c r="K91" s="6" t="n">
        <f aca="false">J91*Supuestos!D$5</f>
        <v>120</v>
      </c>
      <c r="L91" s="6" t="n">
        <f aca="false">IF(OR(U91="Resistors",U91="Capacitors"),ROUNDUP(K91*Supuestos!$B$16,0)+Supuestos!$B$17,ROUNDUP(K91*Supuestos!$B$18,0)+Supuestos!$B$19)</f>
        <v>8</v>
      </c>
      <c r="M91" s="6" t="n">
        <f aca="false">K91+L91</f>
        <v>128</v>
      </c>
      <c r="N91" s="33" t="n">
        <v>0.0077</v>
      </c>
      <c r="O91" s="22" t="n">
        <v>1974651</v>
      </c>
      <c r="P91" s="6" t="n">
        <f aca="false">SUMIF(BOM_V56!$B:$B,B91,BOM_V56!$M:$M)+SUMIF(BOM_V57!$B:$B,B91,BOM_V57!$M:$M)+SUMIF(BOM_v6!$B:$B,B91,BOM_v6!$M:$M)</f>
        <v>1159</v>
      </c>
      <c r="Q91" s="2" t="str">
        <f aca="false">IF(P91&gt;O91,"SÍ","")</f>
        <v/>
      </c>
      <c r="R91" s="38" t="n">
        <f aca="false">N91*(1+IF(Q91="SÍ",Supuestos!$B$14,0))</f>
        <v>0.0077</v>
      </c>
      <c r="S91" s="10" t="n">
        <f aca="false">M91*R91</f>
        <v>0.9856</v>
      </c>
      <c r="T91" s="2"/>
      <c r="U91" s="2" t="s">
        <v>239</v>
      </c>
    </row>
    <row r="92" customFormat="false" ht="15" hidden="false" customHeight="false" outlineLevel="0" collapsed="false">
      <c r="A92" s="2" t="s">
        <v>788</v>
      </c>
      <c r="B92" s="2" t="s">
        <v>789</v>
      </c>
      <c r="C92" s="2" t="s">
        <v>790</v>
      </c>
      <c r="D92" s="2" t="s">
        <v>315</v>
      </c>
      <c r="E92" s="2" t="s">
        <v>316</v>
      </c>
      <c r="F92" s="2" t="s">
        <v>197</v>
      </c>
      <c r="G92" s="2" t="n">
        <v>0</v>
      </c>
      <c r="H92" s="2" t="n">
        <v>2</v>
      </c>
      <c r="I92" s="2" t="n">
        <v>0</v>
      </c>
      <c r="J92" s="35" t="n">
        <v>6</v>
      </c>
      <c r="K92" s="6" t="n">
        <f aca="false">J92*Supuestos!D$5</f>
        <v>360</v>
      </c>
      <c r="L92" s="6" t="n">
        <f aca="false">IF(OR(U92="Resistors",U92="Capacitors"),ROUNDUP(K92*Supuestos!$B$16,0)+Supuestos!$B$17,ROUNDUP(K92*Supuestos!$B$18,0)+Supuestos!$B$19)</f>
        <v>13</v>
      </c>
      <c r="M92" s="6" t="n">
        <f aca="false">K92+L92</f>
        <v>373</v>
      </c>
      <c r="N92" s="33" t="n">
        <v>0.0023</v>
      </c>
      <c r="O92" s="22" t="n">
        <v>6045936</v>
      </c>
      <c r="P92" s="6" t="n">
        <f aca="false">SUMIF(BOM_V56!$B:$B,B92,BOM_V56!$M:$M)+SUMIF(BOM_V57!$B:$B,B92,BOM_V57!$M:$M)+SUMIF(BOM_v6!$B:$B,B92,BOM_v6!$M:$M)</f>
        <v>373</v>
      </c>
      <c r="Q92" s="2" t="str">
        <f aca="false">IF(P92&gt;O92,"SÍ","")</f>
        <v/>
      </c>
      <c r="R92" s="38" t="n">
        <f aca="false">N92*(1+IF(Q92="SÍ",Supuestos!$B$14,0))</f>
        <v>0.0023</v>
      </c>
      <c r="S92" s="10" t="n">
        <f aca="false">M92*R92</f>
        <v>0.8579</v>
      </c>
      <c r="T92" s="2"/>
      <c r="U92" s="2" t="s">
        <v>437</v>
      </c>
    </row>
    <row r="93" customFormat="false" ht="15" hidden="false" customHeight="false" outlineLevel="0" collapsed="false">
      <c r="A93" s="2" t="s">
        <v>791</v>
      </c>
      <c r="B93" s="2" t="s">
        <v>526</v>
      </c>
      <c r="C93" s="2" t="s">
        <v>527</v>
      </c>
      <c r="D93" s="2" t="s">
        <v>448</v>
      </c>
      <c r="E93" s="2" t="s">
        <v>316</v>
      </c>
      <c r="F93" s="2" t="s">
        <v>238</v>
      </c>
      <c r="G93" s="2" t="n">
        <v>0</v>
      </c>
      <c r="H93" s="2" t="n">
        <v>2</v>
      </c>
      <c r="I93" s="2" t="n">
        <v>0</v>
      </c>
      <c r="J93" s="35" t="n">
        <v>4</v>
      </c>
      <c r="K93" s="6" t="n">
        <f aca="false">J93*Supuestos!D$5</f>
        <v>240</v>
      </c>
      <c r="L93" s="6" t="n">
        <f aca="false">IF(OR(U93="Resistors",U93="Capacitors"),ROUNDUP(K93*Supuestos!$B$16,0)+Supuestos!$B$17,ROUNDUP(K93*Supuestos!$B$18,0)+Supuestos!$B$19)</f>
        <v>10</v>
      </c>
      <c r="M93" s="6" t="n">
        <f aca="false">K93+L93</f>
        <v>250</v>
      </c>
      <c r="N93" s="33" t="n">
        <v>0.0028</v>
      </c>
      <c r="O93" s="22" t="n">
        <v>16750308</v>
      </c>
      <c r="P93" s="6" t="n">
        <f aca="false">SUMIF(BOM_V56!$B:$B,B93,BOM_V56!$M:$M)+SUMIF(BOM_V57!$B:$B,B93,BOM_V57!$M:$M)+SUMIF(BOM_v6!$B:$B,B93,BOM_v6!$M:$M)</f>
        <v>1791</v>
      </c>
      <c r="Q93" s="2" t="str">
        <f aca="false">IF(P93&gt;O93,"SÍ","")</f>
        <v/>
      </c>
      <c r="R93" s="38" t="n">
        <f aca="false">N93*(1+IF(Q93="SÍ",Supuestos!$B$14,0))</f>
        <v>0.0028</v>
      </c>
      <c r="S93" s="10" t="n">
        <f aca="false">M93*R93</f>
        <v>0.7</v>
      </c>
      <c r="T93" s="2"/>
      <c r="U93" s="2" t="s">
        <v>437</v>
      </c>
    </row>
    <row r="94" customFormat="false" ht="15" hidden="false" customHeight="false" outlineLevel="0" collapsed="false">
      <c r="A94" s="2" t="s">
        <v>792</v>
      </c>
      <c r="B94" s="2" t="s">
        <v>488</v>
      </c>
      <c r="C94" s="2" t="s">
        <v>489</v>
      </c>
      <c r="D94" s="2" t="s">
        <v>490</v>
      </c>
      <c r="E94" s="2" t="s">
        <v>316</v>
      </c>
      <c r="F94" s="2" t="s">
        <v>238</v>
      </c>
      <c r="G94" s="2" t="n">
        <v>0</v>
      </c>
      <c r="H94" s="2" t="n">
        <v>2</v>
      </c>
      <c r="I94" s="2" t="n">
        <v>0</v>
      </c>
      <c r="J94" s="35" t="n">
        <v>1</v>
      </c>
      <c r="K94" s="6" t="n">
        <f aca="false">J94*Supuestos!D$5</f>
        <v>60</v>
      </c>
      <c r="L94" s="6" t="n">
        <f aca="false">IF(OR(U94="Resistors",U94="Capacitors"),ROUNDUP(K94*Supuestos!$B$16,0)+Supuestos!$B$17,ROUNDUP(K94*Supuestos!$B$18,0)+Supuestos!$B$19)</f>
        <v>7</v>
      </c>
      <c r="M94" s="6" t="n">
        <f aca="false">K94+L94</f>
        <v>67</v>
      </c>
      <c r="N94" s="33" t="n">
        <v>0.0109</v>
      </c>
      <c r="O94" s="22" t="n">
        <v>912227</v>
      </c>
      <c r="P94" s="6" t="n">
        <f aca="false">SUMIF(BOM_V56!$B:$B,B94,BOM_V56!$M:$M)+SUMIF(BOM_V57!$B:$B,B94,BOM_V57!$M:$M)+SUMIF(BOM_v6!$B:$B,B94,BOM_v6!$M:$M)</f>
        <v>726</v>
      </c>
      <c r="Q94" s="2" t="str">
        <f aca="false">IF(P94&gt;O94,"SÍ","")</f>
        <v/>
      </c>
      <c r="R94" s="38" t="n">
        <f aca="false">N94*(1+IF(Q94="SÍ",Supuestos!$B$14,0))</f>
        <v>0.0109</v>
      </c>
      <c r="S94" s="10" t="n">
        <f aca="false">M94*R94</f>
        <v>0.7303</v>
      </c>
      <c r="T94" s="2"/>
      <c r="U94" s="2" t="s">
        <v>239</v>
      </c>
    </row>
    <row r="95" customFormat="false" ht="15" hidden="false" customHeight="false" outlineLevel="0" collapsed="false">
      <c r="A95" s="2" t="s">
        <v>793</v>
      </c>
      <c r="B95" s="2" t="s">
        <v>622</v>
      </c>
      <c r="C95" s="2" t="s">
        <v>623</v>
      </c>
      <c r="D95" s="2" t="s">
        <v>490</v>
      </c>
      <c r="E95" s="2" t="s">
        <v>546</v>
      </c>
      <c r="F95" s="2" t="s">
        <v>197</v>
      </c>
      <c r="G95" s="2" t="n">
        <v>0</v>
      </c>
      <c r="H95" s="2" t="n">
        <v>2</v>
      </c>
      <c r="I95" s="2" t="n">
        <v>0</v>
      </c>
      <c r="J95" s="35" t="n">
        <v>2</v>
      </c>
      <c r="K95" s="6" t="n">
        <f aca="false">J95*Supuestos!D$5</f>
        <v>120</v>
      </c>
      <c r="L95" s="6" t="n">
        <f aca="false">IF(OR(U95="Resistors",U95="Capacitors"),ROUNDUP(K95*Supuestos!$B$16,0)+Supuestos!$B$17,ROUNDUP(K95*Supuestos!$B$18,0)+Supuestos!$B$19)</f>
        <v>8</v>
      </c>
      <c r="M95" s="6" t="n">
        <f aca="false">K95+L95</f>
        <v>128</v>
      </c>
      <c r="N95" s="33" t="n">
        <v>0.0031</v>
      </c>
      <c r="O95" s="22" t="n">
        <v>132077</v>
      </c>
      <c r="P95" s="6" t="n">
        <f aca="false">SUMIF(BOM_V56!$B:$B,B95,BOM_V56!$M:$M)+SUMIF(BOM_V57!$B:$B,B95,BOM_V57!$M:$M)+SUMIF(BOM_v6!$B:$B,B95,BOM_v6!$M:$M)</f>
        <v>506</v>
      </c>
      <c r="Q95" s="2" t="str">
        <f aca="false">IF(P95&gt;O95,"SÍ","")</f>
        <v/>
      </c>
      <c r="R95" s="38" t="n">
        <f aca="false">N95*(1+IF(Q95="SÍ",Supuestos!$B$14,0))</f>
        <v>0.0031</v>
      </c>
      <c r="S95" s="10" t="n">
        <f aca="false">M95*R95</f>
        <v>0.3968</v>
      </c>
      <c r="T95" s="2"/>
      <c r="U95" s="2" t="s">
        <v>239</v>
      </c>
    </row>
    <row r="96" customFormat="false" ht="15" hidden="false" customHeight="false" outlineLevel="0" collapsed="false">
      <c r="A96" s="2" t="s">
        <v>794</v>
      </c>
      <c r="B96" s="2" t="s">
        <v>795</v>
      </c>
      <c r="C96" s="2" t="s">
        <v>796</v>
      </c>
      <c r="D96" s="2" t="s">
        <v>236</v>
      </c>
      <c r="E96" s="2" t="s">
        <v>546</v>
      </c>
      <c r="F96" s="2" t="s">
        <v>238</v>
      </c>
      <c r="G96" s="2" t="n">
        <v>0</v>
      </c>
      <c r="H96" s="2" t="n">
        <v>2</v>
      </c>
      <c r="I96" s="2" t="n">
        <v>0</v>
      </c>
      <c r="J96" s="35" t="n">
        <v>1</v>
      </c>
      <c r="K96" s="6" t="n">
        <f aca="false">J96*Supuestos!D$5</f>
        <v>60</v>
      </c>
      <c r="L96" s="6" t="n">
        <f aca="false">IF(OR(U96="Resistors",U96="Capacitors"),ROUNDUP(K96*Supuestos!$B$16,0)+Supuestos!$B$17,ROUNDUP(K96*Supuestos!$B$18,0)+Supuestos!$B$19)</f>
        <v>7</v>
      </c>
      <c r="M96" s="6" t="n">
        <f aca="false">K96+L96</f>
        <v>67</v>
      </c>
      <c r="N96" s="33" t="n">
        <v>0.0061</v>
      </c>
      <c r="O96" s="22" t="n">
        <v>1826214</v>
      </c>
      <c r="P96" s="6" t="n">
        <f aca="false">SUMIF(BOM_V56!$B:$B,B96,BOM_V56!$M:$M)+SUMIF(BOM_V57!$B:$B,B96,BOM_V57!$M:$M)+SUMIF(BOM_v6!$B:$B,B96,BOM_v6!$M:$M)</f>
        <v>67</v>
      </c>
      <c r="Q96" s="2" t="str">
        <f aca="false">IF(P96&gt;O96,"SÍ","")</f>
        <v/>
      </c>
      <c r="R96" s="38" t="n">
        <f aca="false">N96*(1+IF(Q96="SÍ",Supuestos!$B$14,0))</f>
        <v>0.0061</v>
      </c>
      <c r="S96" s="10" t="n">
        <f aca="false">M96*R96</f>
        <v>0.4087</v>
      </c>
      <c r="T96" s="2"/>
      <c r="U96" s="2" t="s">
        <v>239</v>
      </c>
    </row>
    <row r="97" customFormat="false" ht="15" hidden="false" customHeight="false" outlineLevel="0" collapsed="false">
      <c r="A97" s="2" t="s">
        <v>797</v>
      </c>
      <c r="B97" s="2" t="s">
        <v>619</v>
      </c>
      <c r="C97" s="2" t="s">
        <v>620</v>
      </c>
      <c r="D97" s="2" t="s">
        <v>448</v>
      </c>
      <c r="E97" s="2" t="s">
        <v>316</v>
      </c>
      <c r="F97" s="2" t="s">
        <v>197</v>
      </c>
      <c r="G97" s="2" t="n">
        <v>0</v>
      </c>
      <c r="H97" s="2" t="n">
        <v>2</v>
      </c>
      <c r="I97" s="2" t="n">
        <v>0</v>
      </c>
      <c r="J97" s="35" t="n">
        <v>1</v>
      </c>
      <c r="K97" s="6" t="n">
        <f aca="false">J97*Supuestos!D$5</f>
        <v>60</v>
      </c>
      <c r="L97" s="6" t="n">
        <f aca="false">IF(OR(U97="Resistors",U97="Capacitors"),ROUNDUP(K97*Supuestos!$B$16,0)+Supuestos!$B$17,ROUNDUP(K97*Supuestos!$B$18,0)+Supuestos!$B$19)</f>
        <v>7</v>
      </c>
      <c r="M97" s="6" t="n">
        <f aca="false">K97+L97</f>
        <v>67</v>
      </c>
      <c r="N97" s="33" t="n">
        <v>0.0061</v>
      </c>
      <c r="O97" s="22" t="n">
        <v>160890</v>
      </c>
      <c r="P97" s="6" t="n">
        <f aca="false">SUMIF(BOM_V56!$B:$B,B97,BOM_V56!$M:$M)+SUMIF(BOM_V57!$B:$B,B97,BOM_V57!$M:$M)+SUMIF(BOM_v6!$B:$B,B97,BOM_v6!$M:$M)</f>
        <v>445</v>
      </c>
      <c r="Q97" s="2" t="str">
        <f aca="false">IF(P97&gt;O97,"SÍ","")</f>
        <v/>
      </c>
      <c r="R97" s="38" t="n">
        <f aca="false">N97*(1+IF(Q97="SÍ",Supuestos!$B$14,0))</f>
        <v>0.0061</v>
      </c>
      <c r="S97" s="10" t="n">
        <f aca="false">M97*R97</f>
        <v>0.4087</v>
      </c>
      <c r="T97" s="2"/>
      <c r="U97" s="2" t="s">
        <v>437</v>
      </c>
    </row>
    <row r="98" customFormat="false" ht="15" hidden="false" customHeight="false" outlineLevel="0" collapsed="false">
      <c r="A98" s="2" t="s">
        <v>798</v>
      </c>
      <c r="B98" s="2" t="s">
        <v>529</v>
      </c>
      <c r="C98" s="2" t="s">
        <v>530</v>
      </c>
      <c r="D98" s="2" t="s">
        <v>448</v>
      </c>
      <c r="E98" s="2" t="s">
        <v>316</v>
      </c>
      <c r="F98" s="2" t="s">
        <v>238</v>
      </c>
      <c r="G98" s="2" t="n">
        <v>0</v>
      </c>
      <c r="H98" s="2" t="n">
        <v>2</v>
      </c>
      <c r="I98" s="2" t="n">
        <v>0</v>
      </c>
      <c r="J98" s="35" t="n">
        <v>4</v>
      </c>
      <c r="K98" s="6" t="n">
        <f aca="false">J98*Supuestos!D$5</f>
        <v>240</v>
      </c>
      <c r="L98" s="6" t="n">
        <f aca="false">IF(OR(U98="Resistors",U98="Capacitors"),ROUNDUP(K98*Supuestos!$B$16,0)+Supuestos!$B$17,ROUNDUP(K98*Supuestos!$B$18,0)+Supuestos!$B$19)</f>
        <v>10</v>
      </c>
      <c r="M98" s="6" t="n">
        <f aca="false">K98+L98</f>
        <v>250</v>
      </c>
      <c r="N98" s="33" t="n">
        <v>0.0015</v>
      </c>
      <c r="O98" s="22" t="n">
        <v>21973466</v>
      </c>
      <c r="P98" s="6" t="n">
        <f aca="false">SUMIF(BOM_V56!$B:$B,B98,BOM_V56!$M:$M)+SUMIF(BOM_V57!$B:$B,B98,BOM_V57!$M:$M)+SUMIF(BOM_v6!$B:$B,B98,BOM_v6!$M:$M)</f>
        <v>2301</v>
      </c>
      <c r="Q98" s="2" t="str">
        <f aca="false">IF(P98&gt;O98,"SÍ","")</f>
        <v/>
      </c>
      <c r="R98" s="38" t="n">
        <f aca="false">N98*(1+IF(Q98="SÍ",Supuestos!$B$14,0))</f>
        <v>0.0015</v>
      </c>
      <c r="S98" s="10" t="n">
        <f aca="false">M98*R98</f>
        <v>0.375</v>
      </c>
      <c r="T98" s="2"/>
      <c r="U98" s="2" t="s">
        <v>437</v>
      </c>
    </row>
    <row r="99" customFormat="false" ht="15" hidden="false" customHeight="false" outlineLevel="0" collapsed="false">
      <c r="A99" s="2" t="s">
        <v>799</v>
      </c>
      <c r="B99" s="2" t="s">
        <v>532</v>
      </c>
      <c r="C99" s="2" t="s">
        <v>533</v>
      </c>
      <c r="D99" s="2" t="s">
        <v>490</v>
      </c>
      <c r="E99" s="2" t="s">
        <v>316</v>
      </c>
      <c r="F99" s="2" t="s">
        <v>238</v>
      </c>
      <c r="G99" s="2" t="n">
        <v>0</v>
      </c>
      <c r="H99" s="2" t="n">
        <v>2</v>
      </c>
      <c r="I99" s="2" t="n">
        <v>0</v>
      </c>
      <c r="J99" s="35" t="n">
        <v>1</v>
      </c>
      <c r="K99" s="6" t="n">
        <f aca="false">J99*Supuestos!D$5</f>
        <v>60</v>
      </c>
      <c r="L99" s="6" t="n">
        <f aca="false">IF(OR(U99="Resistors",U99="Capacitors"),ROUNDUP(K99*Supuestos!$B$16,0)+Supuestos!$B$17,ROUNDUP(K99*Supuestos!$B$18,0)+Supuestos!$B$19)</f>
        <v>7</v>
      </c>
      <c r="M99" s="6" t="n">
        <f aca="false">K99+L99</f>
        <v>67</v>
      </c>
      <c r="N99" s="33" t="n">
        <v>0.0055</v>
      </c>
      <c r="O99" s="22" t="n">
        <v>364810</v>
      </c>
      <c r="P99" s="6" t="n">
        <f aca="false">SUMIF(BOM_V56!$B:$B,B99,BOM_V56!$M:$M)+SUMIF(BOM_V57!$B:$B,B99,BOM_V57!$M:$M)+SUMIF(BOM_v6!$B:$B,B99,BOM_v6!$M:$M)</f>
        <v>588</v>
      </c>
      <c r="Q99" s="2" t="str">
        <f aca="false">IF(P99&gt;O99,"SÍ","")</f>
        <v/>
      </c>
      <c r="R99" s="38" t="n">
        <f aca="false">N99*(1+IF(Q99="SÍ",Supuestos!$B$14,0))</f>
        <v>0.0055</v>
      </c>
      <c r="S99" s="10" t="n">
        <f aca="false">M99*R99</f>
        <v>0.3685</v>
      </c>
      <c r="T99" s="2"/>
      <c r="U99" s="2" t="s">
        <v>239</v>
      </c>
    </row>
    <row r="100" customFormat="false" ht="15" hidden="false" customHeight="false" outlineLevel="0" collapsed="false">
      <c r="A100" s="2" t="s">
        <v>800</v>
      </c>
      <c r="B100" s="2" t="s">
        <v>801</v>
      </c>
      <c r="C100" s="2" t="s">
        <v>802</v>
      </c>
      <c r="D100" s="2" t="s">
        <v>448</v>
      </c>
      <c r="E100" s="2" t="s">
        <v>316</v>
      </c>
      <c r="F100" s="2" t="s">
        <v>238</v>
      </c>
      <c r="G100" s="2" t="n">
        <v>0</v>
      </c>
      <c r="H100" s="2" t="n">
        <v>2</v>
      </c>
      <c r="I100" s="2" t="n">
        <v>0</v>
      </c>
      <c r="J100" s="35" t="n">
        <v>3</v>
      </c>
      <c r="K100" s="6" t="n">
        <f aca="false">J100*Supuestos!D$5</f>
        <v>180</v>
      </c>
      <c r="L100" s="6" t="n">
        <f aca="false">IF(OR(U100="Resistors",U100="Capacitors"),ROUNDUP(K100*Supuestos!$B$16,0)+Supuestos!$B$17,ROUNDUP(K100*Supuestos!$B$18,0)+Supuestos!$B$19)</f>
        <v>9</v>
      </c>
      <c r="M100" s="6" t="n">
        <f aca="false">K100+L100</f>
        <v>189</v>
      </c>
      <c r="N100" s="33" t="n">
        <v>0.0017</v>
      </c>
      <c r="O100" s="22" t="n">
        <v>7069465</v>
      </c>
      <c r="P100" s="6" t="n">
        <f aca="false">SUMIF(BOM_V56!$B:$B,B100,BOM_V56!$M:$M)+SUMIF(BOM_V57!$B:$B,B100,BOM_V57!$M:$M)+SUMIF(BOM_v6!$B:$B,B100,BOM_v6!$M:$M)</f>
        <v>189</v>
      </c>
      <c r="Q100" s="2" t="str">
        <f aca="false">IF(P100&gt;O100,"SÍ","")</f>
        <v/>
      </c>
      <c r="R100" s="38" t="n">
        <f aca="false">N100*(1+IF(Q100="SÍ",Supuestos!$B$14,0))</f>
        <v>0.0017</v>
      </c>
      <c r="S100" s="10" t="n">
        <f aca="false">M100*R100</f>
        <v>0.3213</v>
      </c>
      <c r="T100" s="2"/>
      <c r="U100" s="2" t="s">
        <v>437</v>
      </c>
    </row>
    <row r="101" customFormat="false" ht="15" hidden="false" customHeight="false" outlineLevel="0" collapsed="false">
      <c r="A101" s="2" t="s">
        <v>803</v>
      </c>
      <c r="B101" s="2" t="s">
        <v>804</v>
      </c>
      <c r="C101" s="2" t="s">
        <v>805</v>
      </c>
      <c r="D101" s="2" t="s">
        <v>490</v>
      </c>
      <c r="E101" s="2" t="s">
        <v>316</v>
      </c>
      <c r="F101" s="2" t="s">
        <v>197</v>
      </c>
      <c r="G101" s="2" t="n">
        <v>0</v>
      </c>
      <c r="H101" s="2" t="n">
        <v>2</v>
      </c>
      <c r="I101" s="2" t="n">
        <v>0</v>
      </c>
      <c r="J101" s="35" t="n">
        <v>2</v>
      </c>
      <c r="K101" s="6" t="n">
        <f aca="false">J101*Supuestos!D$5</f>
        <v>120</v>
      </c>
      <c r="L101" s="6" t="n">
        <f aca="false">IF(OR(U101="Resistors",U101="Capacitors"),ROUNDUP(K101*Supuestos!$B$16,0)+Supuestos!$B$17,ROUNDUP(K101*Supuestos!$B$18,0)+Supuestos!$B$19)</f>
        <v>8</v>
      </c>
      <c r="M101" s="6" t="n">
        <f aca="false">K101+L101</f>
        <v>128</v>
      </c>
      <c r="N101" s="33" t="n">
        <v>0.0024</v>
      </c>
      <c r="O101" s="22" t="n">
        <v>239118</v>
      </c>
      <c r="P101" s="6" t="n">
        <f aca="false">SUMIF(BOM_V56!$B:$B,B101,BOM_V56!$M:$M)+SUMIF(BOM_V57!$B:$B,B101,BOM_V57!$M:$M)+SUMIF(BOM_v6!$B:$B,B101,BOM_v6!$M:$M)</f>
        <v>128</v>
      </c>
      <c r="Q101" s="2" t="str">
        <f aca="false">IF(P101&gt;O101,"SÍ","")</f>
        <v/>
      </c>
      <c r="R101" s="38" t="n">
        <f aca="false">N101*(1+IF(Q101="SÍ",Supuestos!$B$14,0))</f>
        <v>0.0024</v>
      </c>
      <c r="S101" s="10" t="n">
        <f aca="false">M101*R101</f>
        <v>0.3072</v>
      </c>
      <c r="T101" s="2"/>
      <c r="U101" s="2" t="s">
        <v>239</v>
      </c>
    </row>
    <row r="102" customFormat="false" ht="15" hidden="false" customHeight="false" outlineLevel="0" collapsed="false">
      <c r="A102" s="2" t="s">
        <v>806</v>
      </c>
      <c r="B102" s="2" t="s">
        <v>807</v>
      </c>
      <c r="C102" s="2" t="s">
        <v>808</v>
      </c>
      <c r="D102" s="2" t="s">
        <v>315</v>
      </c>
      <c r="E102" s="2" t="s">
        <v>316</v>
      </c>
      <c r="F102" s="2" t="s">
        <v>197</v>
      </c>
      <c r="G102" s="2" t="n">
        <v>0</v>
      </c>
      <c r="H102" s="2" t="n">
        <v>2</v>
      </c>
      <c r="I102" s="2" t="n">
        <v>0</v>
      </c>
      <c r="J102" s="35" t="n">
        <v>2</v>
      </c>
      <c r="K102" s="6" t="n">
        <f aca="false">J102*Supuestos!D$5</f>
        <v>120</v>
      </c>
      <c r="L102" s="6" t="n">
        <f aca="false">IF(OR(U102="Resistors",U102="Capacitors"),ROUNDUP(K102*Supuestos!$B$16,0)+Supuestos!$B$17,ROUNDUP(K102*Supuestos!$B$18,0)+Supuestos!$B$19)</f>
        <v>8</v>
      </c>
      <c r="M102" s="6" t="n">
        <f aca="false">K102+L102</f>
        <v>128</v>
      </c>
      <c r="N102" s="33" t="n">
        <v>0.0023</v>
      </c>
      <c r="O102" s="22" t="n">
        <v>9031737</v>
      </c>
      <c r="P102" s="6" t="n">
        <f aca="false">SUMIF(BOM_V56!$B:$B,B102,BOM_V56!$M:$M)+SUMIF(BOM_V57!$B:$B,B102,BOM_V57!$M:$M)+SUMIF(BOM_v6!$B:$B,B102,BOM_v6!$M:$M)</f>
        <v>128</v>
      </c>
      <c r="Q102" s="2" t="str">
        <f aca="false">IF(P102&gt;O102,"SÍ","")</f>
        <v/>
      </c>
      <c r="R102" s="38" t="n">
        <f aca="false">N102*(1+IF(Q102="SÍ",Supuestos!$B$14,0))</f>
        <v>0.0023</v>
      </c>
      <c r="S102" s="10" t="n">
        <f aca="false">M102*R102</f>
        <v>0.2944</v>
      </c>
      <c r="T102" s="2"/>
      <c r="U102" s="2" t="s">
        <v>437</v>
      </c>
    </row>
    <row r="103" customFormat="false" ht="15" hidden="false" customHeight="false" outlineLevel="0" collapsed="false">
      <c r="A103" s="2" t="s">
        <v>809</v>
      </c>
      <c r="B103" s="2" t="s">
        <v>538</v>
      </c>
      <c r="C103" s="2" t="s">
        <v>539</v>
      </c>
      <c r="D103" s="2" t="s">
        <v>448</v>
      </c>
      <c r="E103" s="2" t="s">
        <v>316</v>
      </c>
      <c r="F103" s="2" t="s">
        <v>238</v>
      </c>
      <c r="G103" s="2" t="n">
        <v>0</v>
      </c>
      <c r="H103" s="2" t="n">
        <v>2</v>
      </c>
      <c r="I103" s="2" t="n">
        <v>0</v>
      </c>
      <c r="J103" s="35" t="n">
        <v>2</v>
      </c>
      <c r="K103" s="6" t="n">
        <f aca="false">J103*Supuestos!D$5</f>
        <v>120</v>
      </c>
      <c r="L103" s="6" t="n">
        <f aca="false">IF(OR(U103="Resistors",U103="Capacitors"),ROUNDUP(K103*Supuestos!$B$16,0)+Supuestos!$B$17,ROUNDUP(K103*Supuestos!$B$18,0)+Supuestos!$B$19)</f>
        <v>8</v>
      </c>
      <c r="M103" s="6" t="n">
        <f aca="false">K103+L103</f>
        <v>128</v>
      </c>
      <c r="N103" s="33" t="n">
        <v>0.002</v>
      </c>
      <c r="O103" s="22" t="n">
        <v>3724658</v>
      </c>
      <c r="P103" s="6" t="n">
        <f aca="false">SUMIF(BOM_V56!$B:$B,B103,BOM_V56!$M:$M)+SUMIF(BOM_V57!$B:$B,B103,BOM_V57!$M:$M)+SUMIF(BOM_v6!$B:$B,B103,BOM_v6!$M:$M)</f>
        <v>1159</v>
      </c>
      <c r="Q103" s="2" t="str">
        <f aca="false">IF(P103&gt;O103,"SÍ","")</f>
        <v/>
      </c>
      <c r="R103" s="38" t="n">
        <f aca="false">N103*(1+IF(Q103="SÍ",Supuestos!$B$14,0))</f>
        <v>0.002</v>
      </c>
      <c r="S103" s="10" t="n">
        <f aca="false">M103*R103</f>
        <v>0.256</v>
      </c>
      <c r="T103" s="2"/>
      <c r="U103" s="2" t="s">
        <v>437</v>
      </c>
    </row>
    <row r="104" customFormat="false" ht="15" hidden="false" customHeight="false" outlineLevel="0" collapsed="false">
      <c r="A104" s="2" t="s">
        <v>810</v>
      </c>
      <c r="B104" s="2" t="s">
        <v>548</v>
      </c>
      <c r="C104" s="2" t="s">
        <v>549</v>
      </c>
      <c r="D104" s="2" t="s">
        <v>448</v>
      </c>
      <c r="E104" s="2" t="s">
        <v>316</v>
      </c>
      <c r="F104" s="2" t="s">
        <v>238</v>
      </c>
      <c r="G104" s="2" t="n">
        <v>0</v>
      </c>
      <c r="H104" s="2" t="n">
        <v>2</v>
      </c>
      <c r="I104" s="2" t="n">
        <v>0</v>
      </c>
      <c r="J104" s="35" t="n">
        <v>1</v>
      </c>
      <c r="K104" s="6" t="n">
        <f aca="false">J104*Supuestos!D$5</f>
        <v>60</v>
      </c>
      <c r="L104" s="6" t="n">
        <f aca="false">IF(OR(U104="Resistors",U104="Capacitors"),ROUNDUP(K104*Supuestos!$B$16,0)+Supuestos!$B$17,ROUNDUP(K104*Supuestos!$B$18,0)+Supuestos!$B$19)</f>
        <v>7</v>
      </c>
      <c r="M104" s="6" t="n">
        <f aca="false">K104+L104</f>
        <v>67</v>
      </c>
      <c r="N104" s="33" t="n">
        <v>0.0032</v>
      </c>
      <c r="O104" s="22" t="n">
        <v>893239</v>
      </c>
      <c r="P104" s="6" t="n">
        <f aca="false">SUMIF(BOM_V56!$B:$B,B104,BOM_V56!$M:$M)+SUMIF(BOM_V57!$B:$B,B104,BOM_V57!$M:$M)+SUMIF(BOM_v6!$B:$B,B104,BOM_v6!$M:$M)</f>
        <v>588</v>
      </c>
      <c r="Q104" s="2" t="str">
        <f aca="false">IF(P104&gt;O104,"SÍ","")</f>
        <v/>
      </c>
      <c r="R104" s="38" t="n">
        <f aca="false">N104*(1+IF(Q104="SÍ",Supuestos!$B$14,0))</f>
        <v>0.0032</v>
      </c>
      <c r="S104" s="10" t="n">
        <f aca="false">M104*R104</f>
        <v>0.2144</v>
      </c>
      <c r="T104" s="2"/>
      <c r="U104" s="2" t="s">
        <v>437</v>
      </c>
    </row>
    <row r="105" customFormat="false" ht="15" hidden="false" customHeight="false" outlineLevel="0" collapsed="false">
      <c r="A105" s="2" t="s">
        <v>811</v>
      </c>
      <c r="B105" s="2" t="s">
        <v>812</v>
      </c>
      <c r="C105" s="2" t="s">
        <v>813</v>
      </c>
      <c r="D105" s="2" t="s">
        <v>490</v>
      </c>
      <c r="E105" s="2" t="s">
        <v>546</v>
      </c>
      <c r="F105" s="2" t="s">
        <v>238</v>
      </c>
      <c r="G105" s="2" t="n">
        <v>0</v>
      </c>
      <c r="H105" s="2" t="n">
        <v>2</v>
      </c>
      <c r="I105" s="2" t="n">
        <v>0</v>
      </c>
      <c r="J105" s="35" t="n">
        <v>1</v>
      </c>
      <c r="K105" s="6" t="n">
        <f aca="false">J105*Supuestos!D$5</f>
        <v>60</v>
      </c>
      <c r="L105" s="6" t="n">
        <f aca="false">IF(OR(U105="Resistors",U105="Capacitors"),ROUNDUP(K105*Supuestos!$B$16,0)+Supuestos!$B$17,ROUNDUP(K105*Supuestos!$B$18,0)+Supuestos!$B$19)</f>
        <v>7</v>
      </c>
      <c r="M105" s="6" t="n">
        <f aca="false">K105+L105</f>
        <v>67</v>
      </c>
      <c r="N105" s="33" t="n">
        <v>0.0032</v>
      </c>
      <c r="O105" s="22" t="n">
        <v>1556430</v>
      </c>
      <c r="P105" s="6" t="n">
        <f aca="false">SUMIF(BOM_V56!$B:$B,B105,BOM_V56!$M:$M)+SUMIF(BOM_V57!$B:$B,B105,BOM_V57!$M:$M)+SUMIF(BOM_v6!$B:$B,B105,BOM_v6!$M:$M)</f>
        <v>67</v>
      </c>
      <c r="Q105" s="2" t="str">
        <f aca="false">IF(P105&gt;O105,"SÍ","")</f>
        <v/>
      </c>
      <c r="R105" s="38" t="n">
        <f aca="false">N105*(1+IF(Q105="SÍ",Supuestos!$B$14,0))</f>
        <v>0.0032</v>
      </c>
      <c r="S105" s="10" t="n">
        <f aca="false">M105*R105</f>
        <v>0.2144</v>
      </c>
      <c r="T105" s="2"/>
      <c r="U105" s="2" t="s">
        <v>239</v>
      </c>
    </row>
    <row r="106" customFormat="false" ht="15" hidden="false" customHeight="false" outlineLevel="0" collapsed="false">
      <c r="A106" s="2" t="s">
        <v>814</v>
      </c>
      <c r="B106" s="2" t="s">
        <v>551</v>
      </c>
      <c r="C106" s="2" t="s">
        <v>552</v>
      </c>
      <c r="D106" s="2" t="s">
        <v>448</v>
      </c>
      <c r="E106" s="2" t="s">
        <v>316</v>
      </c>
      <c r="F106" s="2" t="s">
        <v>238</v>
      </c>
      <c r="G106" s="2" t="n">
        <v>0</v>
      </c>
      <c r="H106" s="2" t="n">
        <v>2</v>
      </c>
      <c r="I106" s="2" t="n">
        <v>0</v>
      </c>
      <c r="J106" s="35" t="n">
        <v>1</v>
      </c>
      <c r="K106" s="6" t="n">
        <f aca="false">J106*Supuestos!D$5</f>
        <v>60</v>
      </c>
      <c r="L106" s="6" t="n">
        <f aca="false">IF(OR(U106="Resistors",U106="Capacitors"),ROUNDUP(K106*Supuestos!$B$16,0)+Supuestos!$B$17,ROUNDUP(K106*Supuestos!$B$18,0)+Supuestos!$B$19)</f>
        <v>7</v>
      </c>
      <c r="M106" s="6" t="n">
        <f aca="false">K106+L106</f>
        <v>67</v>
      </c>
      <c r="N106" s="33" t="n">
        <v>0.0032</v>
      </c>
      <c r="O106" s="22" t="n">
        <v>6801033</v>
      </c>
      <c r="P106" s="6" t="n">
        <f aca="false">SUMIF(BOM_V56!$B:$B,B106,BOM_V56!$M:$M)+SUMIF(BOM_V57!$B:$B,B106,BOM_V57!$M:$M)+SUMIF(BOM_v6!$B:$B,B106,BOM_v6!$M:$M)</f>
        <v>588</v>
      </c>
      <c r="Q106" s="2" t="str">
        <f aca="false">IF(P106&gt;O106,"SÍ","")</f>
        <v/>
      </c>
      <c r="R106" s="38" t="n">
        <f aca="false">N106*(1+IF(Q106="SÍ",Supuestos!$B$14,0))</f>
        <v>0.0032</v>
      </c>
      <c r="S106" s="10" t="n">
        <f aca="false">M106*R106</f>
        <v>0.2144</v>
      </c>
      <c r="T106" s="2"/>
      <c r="U106" s="2" t="s">
        <v>437</v>
      </c>
    </row>
    <row r="107" customFormat="false" ht="15" hidden="false" customHeight="false" outlineLevel="0" collapsed="false">
      <c r="A107" s="2" t="s">
        <v>815</v>
      </c>
      <c r="B107" s="2" t="s">
        <v>816</v>
      </c>
      <c r="C107" s="2" t="s">
        <v>817</v>
      </c>
      <c r="D107" s="2" t="s">
        <v>490</v>
      </c>
      <c r="E107" s="2" t="s">
        <v>316</v>
      </c>
      <c r="F107" s="2" t="s">
        <v>197</v>
      </c>
      <c r="G107" s="2" t="n">
        <v>0</v>
      </c>
      <c r="H107" s="2" t="n">
        <v>2</v>
      </c>
      <c r="I107" s="2" t="n">
        <v>0</v>
      </c>
      <c r="J107" s="35" t="n">
        <v>2</v>
      </c>
      <c r="K107" s="6" t="n">
        <f aca="false">J107*Supuestos!D$5</f>
        <v>120</v>
      </c>
      <c r="L107" s="6" t="n">
        <f aca="false">IF(OR(U107="Resistors",U107="Capacitors"),ROUNDUP(K107*Supuestos!$B$16,0)+Supuestos!$B$17,ROUNDUP(K107*Supuestos!$B$18,0)+Supuestos!$B$19)</f>
        <v>8</v>
      </c>
      <c r="M107" s="6" t="n">
        <f aca="false">K107+L107</f>
        <v>128</v>
      </c>
      <c r="N107" s="33" t="n">
        <v>0.0015</v>
      </c>
      <c r="O107" s="22" t="n">
        <v>45607</v>
      </c>
      <c r="P107" s="6" t="n">
        <f aca="false">SUMIF(BOM_V56!$B:$B,B107,BOM_V56!$M:$M)+SUMIF(BOM_V57!$B:$B,B107,BOM_V57!$M:$M)+SUMIF(BOM_v6!$B:$B,B107,BOM_v6!$M:$M)</f>
        <v>128</v>
      </c>
      <c r="Q107" s="2" t="str">
        <f aca="false">IF(P107&gt;O107,"SÍ","")</f>
        <v/>
      </c>
      <c r="R107" s="38" t="n">
        <f aca="false">N107*(1+IF(Q107="SÍ",Supuestos!$B$14,0))</f>
        <v>0.0015</v>
      </c>
      <c r="S107" s="10" t="n">
        <f aca="false">M107*R107</f>
        <v>0.192</v>
      </c>
      <c r="T107" s="2"/>
      <c r="U107" s="2" t="s">
        <v>437</v>
      </c>
    </row>
    <row r="108" customFormat="false" ht="15" hidden="false" customHeight="false" outlineLevel="0" collapsed="false">
      <c r="A108" s="2" t="s">
        <v>818</v>
      </c>
      <c r="B108" s="2" t="s">
        <v>819</v>
      </c>
      <c r="C108" s="2" t="s">
        <v>820</v>
      </c>
      <c r="D108" s="2" t="s">
        <v>490</v>
      </c>
      <c r="E108" s="2" t="s">
        <v>546</v>
      </c>
      <c r="F108" s="2" t="s">
        <v>238</v>
      </c>
      <c r="G108" s="2" t="n">
        <v>0</v>
      </c>
      <c r="H108" s="2" t="n">
        <v>2</v>
      </c>
      <c r="I108" s="2" t="n">
        <v>0</v>
      </c>
      <c r="J108" s="35" t="n">
        <v>1</v>
      </c>
      <c r="K108" s="6" t="n">
        <f aca="false">J108*Supuestos!D$5</f>
        <v>60</v>
      </c>
      <c r="L108" s="6" t="n">
        <f aca="false">IF(OR(U108="Resistors",U108="Capacitors"),ROUNDUP(K108*Supuestos!$B$16,0)+Supuestos!$B$17,ROUNDUP(K108*Supuestos!$B$18,0)+Supuestos!$B$19)</f>
        <v>7</v>
      </c>
      <c r="M108" s="6" t="n">
        <f aca="false">K108+L108</f>
        <v>67</v>
      </c>
      <c r="N108" s="33" t="n">
        <v>0.003</v>
      </c>
      <c r="O108" s="22" t="n">
        <v>3305484</v>
      </c>
      <c r="P108" s="6" t="n">
        <f aca="false">SUMIF(BOM_V56!$B:$B,B108,BOM_V56!$M:$M)+SUMIF(BOM_V57!$B:$B,B108,BOM_V57!$M:$M)+SUMIF(BOM_v6!$B:$B,B108,BOM_v6!$M:$M)</f>
        <v>67</v>
      </c>
      <c r="Q108" s="2" t="str">
        <f aca="false">IF(P108&gt;O108,"SÍ","")</f>
        <v/>
      </c>
      <c r="R108" s="38" t="n">
        <f aca="false">N108*(1+IF(Q108="SÍ",Supuestos!$B$14,0))</f>
        <v>0.003</v>
      </c>
      <c r="S108" s="10" t="n">
        <f aca="false">M108*R108</f>
        <v>0.201</v>
      </c>
      <c r="T108" s="2"/>
      <c r="U108" s="2" t="s">
        <v>239</v>
      </c>
    </row>
    <row r="109" customFormat="false" ht="15" hidden="false" customHeight="false" outlineLevel="0" collapsed="false">
      <c r="A109" s="2" t="s">
        <v>821</v>
      </c>
      <c r="B109" s="2" t="s">
        <v>625</v>
      </c>
      <c r="C109" s="2" t="s">
        <v>626</v>
      </c>
      <c r="D109" s="2" t="s">
        <v>448</v>
      </c>
      <c r="E109" s="2" t="s">
        <v>316</v>
      </c>
      <c r="F109" s="2" t="s">
        <v>197</v>
      </c>
      <c r="G109" s="2" t="n">
        <v>0</v>
      </c>
      <c r="H109" s="2" t="n">
        <v>2</v>
      </c>
      <c r="I109" s="2" t="n">
        <v>0</v>
      </c>
      <c r="J109" s="35" t="n">
        <v>1</v>
      </c>
      <c r="K109" s="6" t="n">
        <f aca="false">J109*Supuestos!D$5</f>
        <v>60</v>
      </c>
      <c r="L109" s="6" t="n">
        <f aca="false">IF(OR(U109="Resistors",U109="Capacitors"),ROUNDUP(K109*Supuestos!$B$16,0)+Supuestos!$B$17,ROUNDUP(K109*Supuestos!$B$18,0)+Supuestos!$B$19)</f>
        <v>7</v>
      </c>
      <c r="M109" s="6" t="n">
        <f aca="false">K109+L109</f>
        <v>67</v>
      </c>
      <c r="N109" s="33" t="n">
        <v>0.0029</v>
      </c>
      <c r="O109" s="22" t="n">
        <v>62251</v>
      </c>
      <c r="P109" s="6" t="n">
        <f aca="false">SUMIF(BOM_V56!$B:$B,B109,BOM_V56!$M:$M)+SUMIF(BOM_V57!$B:$B,B109,BOM_V57!$M:$M)+SUMIF(BOM_v6!$B:$B,B109,BOM_v6!$M:$M)</f>
        <v>445</v>
      </c>
      <c r="Q109" s="2" t="str">
        <f aca="false">IF(P109&gt;O109,"SÍ","")</f>
        <v/>
      </c>
      <c r="R109" s="38" t="n">
        <f aca="false">N109*(1+IF(Q109="SÍ",Supuestos!$B$14,0))</f>
        <v>0.0029</v>
      </c>
      <c r="S109" s="10" t="n">
        <f aca="false">M109*R109</f>
        <v>0.1943</v>
      </c>
      <c r="T109" s="2"/>
      <c r="U109" s="2" t="s">
        <v>437</v>
      </c>
    </row>
    <row r="110" customFormat="false" ht="15" hidden="false" customHeight="false" outlineLevel="0" collapsed="false">
      <c r="A110" s="2" t="s">
        <v>822</v>
      </c>
      <c r="B110" s="2" t="s">
        <v>628</v>
      </c>
      <c r="C110" s="2" t="s">
        <v>629</v>
      </c>
      <c r="D110" s="2" t="s">
        <v>315</v>
      </c>
      <c r="E110" s="2" t="s">
        <v>316</v>
      </c>
      <c r="F110" s="2" t="s">
        <v>197</v>
      </c>
      <c r="G110" s="2" t="n">
        <v>0</v>
      </c>
      <c r="H110" s="2" t="n">
        <v>2</v>
      </c>
      <c r="I110" s="2" t="n">
        <v>0</v>
      </c>
      <c r="J110" s="35" t="n">
        <v>1</v>
      </c>
      <c r="K110" s="6" t="n">
        <f aca="false">J110*Supuestos!D$5</f>
        <v>60</v>
      </c>
      <c r="L110" s="6" t="n">
        <f aca="false">IF(OR(U110="Resistors",U110="Capacitors"),ROUNDUP(K110*Supuestos!$B$16,0)+Supuestos!$B$17,ROUNDUP(K110*Supuestos!$B$18,0)+Supuestos!$B$19)</f>
        <v>7</v>
      </c>
      <c r="M110" s="6" t="n">
        <f aca="false">K110+L110</f>
        <v>67</v>
      </c>
      <c r="N110" s="33" t="n">
        <v>0.0028</v>
      </c>
      <c r="O110" s="22" t="n">
        <v>7875</v>
      </c>
      <c r="P110" s="6" t="n">
        <f aca="false">SUMIF(BOM_V56!$B:$B,B110,BOM_V56!$M:$M)+SUMIF(BOM_V57!$B:$B,B110,BOM_V57!$M:$M)+SUMIF(BOM_v6!$B:$B,B110,BOM_v6!$M:$M)</f>
        <v>445</v>
      </c>
      <c r="Q110" s="2" t="str">
        <f aca="false">IF(P110&gt;O110,"SÍ","")</f>
        <v/>
      </c>
      <c r="R110" s="38" t="n">
        <f aca="false">N110*(1+IF(Q110="SÍ",Supuestos!$B$14,0))</f>
        <v>0.0028</v>
      </c>
      <c r="S110" s="10" t="n">
        <f aca="false">M110*R110</f>
        <v>0.1876</v>
      </c>
      <c r="T110" s="2"/>
      <c r="U110" s="2" t="s">
        <v>437</v>
      </c>
    </row>
    <row r="111" customFormat="false" ht="15" hidden="false" customHeight="false" outlineLevel="0" collapsed="false">
      <c r="A111" s="2" t="s">
        <v>823</v>
      </c>
      <c r="B111" s="2" t="s">
        <v>631</v>
      </c>
      <c r="C111" s="2" t="s">
        <v>632</v>
      </c>
      <c r="D111" s="2" t="s">
        <v>448</v>
      </c>
      <c r="E111" s="2" t="s">
        <v>316</v>
      </c>
      <c r="F111" s="2" t="s">
        <v>238</v>
      </c>
      <c r="G111" s="2" t="n">
        <v>0</v>
      </c>
      <c r="H111" s="2" t="n">
        <v>2</v>
      </c>
      <c r="I111" s="2" t="n">
        <v>0</v>
      </c>
      <c r="J111" s="35" t="n">
        <v>1</v>
      </c>
      <c r="K111" s="6" t="n">
        <f aca="false">J111*Supuestos!D$5</f>
        <v>60</v>
      </c>
      <c r="L111" s="6" t="n">
        <f aca="false">IF(OR(U111="Resistors",U111="Capacitors"),ROUNDUP(K111*Supuestos!$B$16,0)+Supuestos!$B$17,ROUNDUP(K111*Supuestos!$B$18,0)+Supuestos!$B$19)</f>
        <v>7</v>
      </c>
      <c r="M111" s="6" t="n">
        <f aca="false">K111+L111</f>
        <v>67</v>
      </c>
      <c r="N111" s="33" t="n">
        <v>0.0027</v>
      </c>
      <c r="O111" s="22" t="n">
        <v>473735</v>
      </c>
      <c r="P111" s="6" t="n">
        <f aca="false">SUMIF(BOM_V56!$B:$B,B111,BOM_V56!$M:$M)+SUMIF(BOM_V57!$B:$B,B111,BOM_V57!$M:$M)+SUMIF(BOM_v6!$B:$B,B111,BOM_v6!$M:$M)</f>
        <v>445</v>
      </c>
      <c r="Q111" s="2" t="str">
        <f aca="false">IF(P111&gt;O111,"SÍ","")</f>
        <v/>
      </c>
      <c r="R111" s="38" t="n">
        <f aca="false">N111*(1+IF(Q111="SÍ",Supuestos!$B$14,0))</f>
        <v>0.0027</v>
      </c>
      <c r="S111" s="10" t="n">
        <f aca="false">M111*R111</f>
        <v>0.1809</v>
      </c>
      <c r="T111" s="2"/>
      <c r="U111" s="2" t="s">
        <v>437</v>
      </c>
    </row>
    <row r="112" customFormat="false" ht="15" hidden="false" customHeight="false" outlineLevel="0" collapsed="false">
      <c r="A112" s="2" t="s">
        <v>824</v>
      </c>
      <c r="B112" s="2" t="s">
        <v>634</v>
      </c>
      <c r="C112" s="2" t="s">
        <v>635</v>
      </c>
      <c r="D112" s="2" t="s">
        <v>490</v>
      </c>
      <c r="E112" s="2" t="s">
        <v>546</v>
      </c>
      <c r="F112" s="2" t="s">
        <v>197</v>
      </c>
      <c r="G112" s="2" t="n">
        <v>0</v>
      </c>
      <c r="H112" s="2" t="n">
        <v>2</v>
      </c>
      <c r="I112" s="2" t="n">
        <v>0</v>
      </c>
      <c r="J112" s="35" t="n">
        <v>1</v>
      </c>
      <c r="K112" s="6" t="n">
        <f aca="false">J112*Supuestos!D$5</f>
        <v>60</v>
      </c>
      <c r="L112" s="6" t="n">
        <f aca="false">IF(OR(U112="Resistors",U112="Capacitors"),ROUNDUP(K112*Supuestos!$B$16,0)+Supuestos!$B$17,ROUNDUP(K112*Supuestos!$B$18,0)+Supuestos!$B$19)</f>
        <v>7</v>
      </c>
      <c r="M112" s="6" t="n">
        <f aca="false">K112+L112</f>
        <v>67</v>
      </c>
      <c r="N112" s="33" t="n">
        <v>0.0026</v>
      </c>
      <c r="O112" s="22" t="n">
        <v>117193</v>
      </c>
      <c r="P112" s="6" t="n">
        <f aca="false">SUMIF(BOM_V56!$B:$B,B112,BOM_V56!$M:$M)+SUMIF(BOM_V57!$B:$B,B112,BOM_V57!$M:$M)+SUMIF(BOM_v6!$B:$B,B112,BOM_v6!$M:$M)</f>
        <v>445</v>
      </c>
      <c r="Q112" s="2" t="str">
        <f aca="false">IF(P112&gt;O112,"SÍ","")</f>
        <v/>
      </c>
      <c r="R112" s="38" t="n">
        <f aca="false">N112*(1+IF(Q112="SÍ",Supuestos!$B$14,0))</f>
        <v>0.0026</v>
      </c>
      <c r="S112" s="10" t="n">
        <f aca="false">M112*R112</f>
        <v>0.1742</v>
      </c>
      <c r="T112" s="2"/>
      <c r="U112" s="2" t="s">
        <v>239</v>
      </c>
    </row>
    <row r="113" customFormat="false" ht="15" hidden="false" customHeight="false" outlineLevel="0" collapsed="false">
      <c r="A113" s="2" t="s">
        <v>825</v>
      </c>
      <c r="B113" s="2" t="s">
        <v>826</v>
      </c>
      <c r="C113" s="2" t="s">
        <v>827</v>
      </c>
      <c r="D113" s="2" t="s">
        <v>448</v>
      </c>
      <c r="E113" s="2" t="s">
        <v>316</v>
      </c>
      <c r="F113" s="2" t="s">
        <v>197</v>
      </c>
      <c r="G113" s="2" t="n">
        <v>0</v>
      </c>
      <c r="H113" s="2" t="n">
        <v>2</v>
      </c>
      <c r="I113" s="2" t="n">
        <v>0</v>
      </c>
      <c r="J113" s="35" t="n">
        <v>1</v>
      </c>
      <c r="K113" s="6" t="n">
        <f aca="false">J113*Supuestos!D$5</f>
        <v>60</v>
      </c>
      <c r="L113" s="6" t="n">
        <f aca="false">IF(OR(U113="Resistors",U113="Capacitors"),ROUNDUP(K113*Supuestos!$B$16,0)+Supuestos!$B$17,ROUNDUP(K113*Supuestos!$B$18,0)+Supuestos!$B$19)</f>
        <v>7</v>
      </c>
      <c r="M113" s="6" t="n">
        <f aca="false">K113+L113</f>
        <v>67</v>
      </c>
      <c r="N113" s="33" t="n">
        <v>0.0025</v>
      </c>
      <c r="O113" s="22" t="n">
        <v>849</v>
      </c>
      <c r="P113" s="6" t="n">
        <f aca="false">SUMIF(BOM_V56!$B:$B,B113,BOM_V56!$M:$M)+SUMIF(BOM_V57!$B:$B,B113,BOM_V57!$M:$M)+SUMIF(BOM_v6!$B:$B,B113,BOM_v6!$M:$M)</f>
        <v>67</v>
      </c>
      <c r="Q113" s="2" t="str">
        <f aca="false">IF(P113&gt;O113,"SÍ","")</f>
        <v/>
      </c>
      <c r="R113" s="38" t="n">
        <f aca="false">N113*(1+IF(Q113="SÍ",Supuestos!$B$14,0))</f>
        <v>0.0025</v>
      </c>
      <c r="S113" s="10" t="n">
        <f aca="false">M113*R113</f>
        <v>0.1675</v>
      </c>
      <c r="T113" s="2"/>
      <c r="U113" s="2" t="s">
        <v>437</v>
      </c>
    </row>
    <row r="114" customFormat="false" ht="15" hidden="false" customHeight="false" outlineLevel="0" collapsed="false">
      <c r="A114" s="2" t="s">
        <v>828</v>
      </c>
      <c r="B114" s="2" t="s">
        <v>557</v>
      </c>
      <c r="C114" s="2" t="s">
        <v>558</v>
      </c>
      <c r="D114" s="2" t="s">
        <v>448</v>
      </c>
      <c r="E114" s="2" t="s">
        <v>316</v>
      </c>
      <c r="F114" s="2" t="s">
        <v>238</v>
      </c>
      <c r="G114" s="2" t="n">
        <v>0</v>
      </c>
      <c r="H114" s="2" t="n">
        <v>2</v>
      </c>
      <c r="I114" s="2" t="n">
        <v>0</v>
      </c>
      <c r="J114" s="35" t="n">
        <v>1</v>
      </c>
      <c r="K114" s="6" t="n">
        <f aca="false">J114*Supuestos!D$5</f>
        <v>60</v>
      </c>
      <c r="L114" s="6" t="n">
        <f aca="false">IF(OR(U114="Resistors",U114="Capacitors"),ROUNDUP(K114*Supuestos!$B$16,0)+Supuestos!$B$17,ROUNDUP(K114*Supuestos!$B$18,0)+Supuestos!$B$19)</f>
        <v>7</v>
      </c>
      <c r="M114" s="6" t="n">
        <f aca="false">K114+L114</f>
        <v>67</v>
      </c>
      <c r="N114" s="33" t="n">
        <v>0.0023</v>
      </c>
      <c r="O114" s="22" t="n">
        <v>10422555</v>
      </c>
      <c r="P114" s="6" t="n">
        <f aca="false">SUMIF(BOM_V56!$B:$B,B114,BOM_V56!$M:$M)+SUMIF(BOM_V57!$B:$B,B114,BOM_V57!$M:$M)+SUMIF(BOM_v6!$B:$B,B114,BOM_v6!$M:$M)</f>
        <v>588</v>
      </c>
      <c r="Q114" s="2" t="str">
        <f aca="false">IF(P114&gt;O114,"SÍ","")</f>
        <v/>
      </c>
      <c r="R114" s="38" t="n">
        <f aca="false">N114*(1+IF(Q114="SÍ",Supuestos!$B$14,0))</f>
        <v>0.0023</v>
      </c>
      <c r="S114" s="10" t="n">
        <f aca="false">M114*R114</f>
        <v>0.1541</v>
      </c>
      <c r="T114" s="2"/>
      <c r="U114" s="2" t="s">
        <v>437</v>
      </c>
    </row>
    <row r="115" customFormat="false" ht="15" hidden="false" customHeight="false" outlineLevel="0" collapsed="false">
      <c r="A115" s="2" t="s">
        <v>829</v>
      </c>
      <c r="B115" s="2" t="s">
        <v>830</v>
      </c>
      <c r="C115" s="2" t="s">
        <v>831</v>
      </c>
      <c r="D115" s="2" t="s">
        <v>832</v>
      </c>
      <c r="E115" s="2" t="s">
        <v>316</v>
      </c>
      <c r="F115" s="2" t="s">
        <v>197</v>
      </c>
      <c r="G115" s="2" t="n">
        <v>0</v>
      </c>
      <c r="H115" s="2" t="n">
        <v>2</v>
      </c>
      <c r="I115" s="2" t="n">
        <v>0</v>
      </c>
      <c r="J115" s="35" t="n">
        <v>1</v>
      </c>
      <c r="K115" s="6" t="n">
        <f aca="false">J115*Supuestos!D$5</f>
        <v>60</v>
      </c>
      <c r="L115" s="6" t="n">
        <f aca="false">IF(OR(U115="Resistors",U115="Capacitors"),ROUNDUP(K115*Supuestos!$B$16,0)+Supuestos!$B$17,ROUNDUP(K115*Supuestos!$B$18,0)+Supuestos!$B$19)</f>
        <v>7</v>
      </c>
      <c r="M115" s="6" t="n">
        <f aca="false">K115+L115</f>
        <v>67</v>
      </c>
      <c r="N115" s="33" t="n">
        <v>0.0023</v>
      </c>
      <c r="O115" s="22" t="n">
        <v>322</v>
      </c>
      <c r="P115" s="6" t="n">
        <f aca="false">SUMIF(BOM_V56!$B:$B,B115,BOM_V56!$M:$M)+SUMIF(BOM_V57!$B:$B,B115,BOM_V57!$M:$M)+SUMIF(BOM_v6!$B:$B,B115,BOM_v6!$M:$M)</f>
        <v>67</v>
      </c>
      <c r="Q115" s="2" t="str">
        <f aca="false">IF(P115&gt;O115,"SÍ","")</f>
        <v/>
      </c>
      <c r="R115" s="38" t="n">
        <f aca="false">N115*(1+IF(Q115="SÍ",Supuestos!$B$14,0))</f>
        <v>0.0023</v>
      </c>
      <c r="S115" s="10" t="n">
        <f aca="false">M115*R115</f>
        <v>0.1541</v>
      </c>
      <c r="T115" s="2"/>
      <c r="U115" s="2" t="s">
        <v>437</v>
      </c>
    </row>
    <row r="116" customFormat="false" ht="15" hidden="false" customHeight="false" outlineLevel="0" collapsed="false">
      <c r="A116" s="2" t="s">
        <v>833</v>
      </c>
      <c r="B116" s="2" t="s">
        <v>834</v>
      </c>
      <c r="C116" s="2" t="s">
        <v>835</v>
      </c>
      <c r="D116" s="2" t="s">
        <v>448</v>
      </c>
      <c r="E116" s="2" t="s">
        <v>316</v>
      </c>
      <c r="F116" s="2" t="s">
        <v>238</v>
      </c>
      <c r="G116" s="2" t="n">
        <v>0</v>
      </c>
      <c r="H116" s="2" t="n">
        <v>2</v>
      </c>
      <c r="I116" s="2" t="n">
        <v>0</v>
      </c>
      <c r="J116" s="35" t="n">
        <v>1</v>
      </c>
      <c r="K116" s="6" t="n">
        <f aca="false">J116*Supuestos!D$5</f>
        <v>60</v>
      </c>
      <c r="L116" s="6" t="n">
        <f aca="false">IF(OR(U116="Resistors",U116="Capacitors"),ROUNDUP(K116*Supuestos!$B$16,0)+Supuestos!$B$17,ROUNDUP(K116*Supuestos!$B$18,0)+Supuestos!$B$19)</f>
        <v>7</v>
      </c>
      <c r="M116" s="6" t="n">
        <f aca="false">K116+L116</f>
        <v>67</v>
      </c>
      <c r="N116" s="33" t="n">
        <v>0.0022</v>
      </c>
      <c r="O116" s="22" t="n">
        <v>22070511</v>
      </c>
      <c r="P116" s="6" t="n">
        <f aca="false">SUMIF(BOM_V56!$B:$B,B116,BOM_V56!$M:$M)+SUMIF(BOM_V57!$B:$B,B116,BOM_V57!$M:$M)+SUMIF(BOM_v6!$B:$B,B116,BOM_v6!$M:$M)</f>
        <v>67</v>
      </c>
      <c r="Q116" s="2" t="str">
        <f aca="false">IF(P116&gt;O116,"SÍ","")</f>
        <v/>
      </c>
      <c r="R116" s="38" t="n">
        <f aca="false">N116*(1+IF(Q116="SÍ",Supuestos!$B$14,0))</f>
        <v>0.0022</v>
      </c>
      <c r="S116" s="10" t="n">
        <f aca="false">M116*R116</f>
        <v>0.1474</v>
      </c>
      <c r="T116" s="2"/>
      <c r="U116" s="2" t="s">
        <v>437</v>
      </c>
    </row>
    <row r="117" customFormat="false" ht="15" hidden="false" customHeight="false" outlineLevel="0" collapsed="false">
      <c r="A117" s="2" t="s">
        <v>836</v>
      </c>
      <c r="B117" s="2" t="s">
        <v>837</v>
      </c>
      <c r="C117" s="2" t="s">
        <v>838</v>
      </c>
      <c r="D117" s="2" t="s">
        <v>448</v>
      </c>
      <c r="E117" s="2" t="s">
        <v>316</v>
      </c>
      <c r="F117" s="2" t="s">
        <v>238</v>
      </c>
      <c r="G117" s="2" t="n">
        <v>0</v>
      </c>
      <c r="H117" s="2" t="n">
        <v>2</v>
      </c>
      <c r="I117" s="2" t="n">
        <v>0</v>
      </c>
      <c r="J117" s="35" t="n">
        <v>1</v>
      </c>
      <c r="K117" s="6" t="n">
        <f aca="false">J117*Supuestos!D$5</f>
        <v>60</v>
      </c>
      <c r="L117" s="6" t="n">
        <f aca="false">IF(OR(U117="Resistors",U117="Capacitors"),ROUNDUP(K117*Supuestos!$B$16,0)+Supuestos!$B$17,ROUNDUP(K117*Supuestos!$B$18,0)+Supuestos!$B$19)</f>
        <v>7</v>
      </c>
      <c r="M117" s="6" t="n">
        <f aca="false">K117+L117</f>
        <v>67</v>
      </c>
      <c r="N117" s="33" t="n">
        <v>0.0021</v>
      </c>
      <c r="O117" s="22" t="n">
        <v>889368</v>
      </c>
      <c r="P117" s="6" t="n">
        <f aca="false">SUMIF(BOM_V56!$B:$B,B117,BOM_V56!$M:$M)+SUMIF(BOM_V57!$B:$B,B117,BOM_V57!$M:$M)+SUMIF(BOM_v6!$B:$B,B117,BOM_v6!$M:$M)</f>
        <v>67</v>
      </c>
      <c r="Q117" s="2" t="str">
        <f aca="false">IF(P117&gt;O117,"SÍ","")</f>
        <v/>
      </c>
      <c r="R117" s="38" t="n">
        <f aca="false">N117*(1+IF(Q117="SÍ",Supuestos!$B$14,0))</f>
        <v>0.0021</v>
      </c>
      <c r="S117" s="10" t="n">
        <f aca="false">M117*R117</f>
        <v>0.1407</v>
      </c>
      <c r="T117" s="2"/>
      <c r="U117" s="2" t="s">
        <v>437</v>
      </c>
    </row>
    <row r="118" customFormat="false" ht="15" hidden="false" customHeight="false" outlineLevel="0" collapsed="false">
      <c r="A118" s="2" t="s">
        <v>839</v>
      </c>
      <c r="B118" s="2" t="s">
        <v>566</v>
      </c>
      <c r="C118" s="2" t="s">
        <v>567</v>
      </c>
      <c r="D118" s="2" t="s">
        <v>448</v>
      </c>
      <c r="E118" s="2" t="s">
        <v>316</v>
      </c>
      <c r="F118" s="2" t="s">
        <v>238</v>
      </c>
      <c r="G118" s="2" t="n">
        <v>0</v>
      </c>
      <c r="H118" s="2" t="n">
        <v>2</v>
      </c>
      <c r="I118" s="2" t="n">
        <v>0</v>
      </c>
      <c r="J118" s="35" t="n">
        <v>1</v>
      </c>
      <c r="K118" s="6" t="n">
        <f aca="false">J118*Supuestos!D$5</f>
        <v>60</v>
      </c>
      <c r="L118" s="6" t="n">
        <f aca="false">IF(OR(U118="Resistors",U118="Capacitors"),ROUNDUP(K118*Supuestos!$B$16,0)+Supuestos!$B$17,ROUNDUP(K118*Supuestos!$B$18,0)+Supuestos!$B$19)</f>
        <v>7</v>
      </c>
      <c r="M118" s="6" t="n">
        <f aca="false">K118+L118</f>
        <v>67</v>
      </c>
      <c r="N118" s="33" t="n">
        <v>0.0021</v>
      </c>
      <c r="O118" s="22" t="n">
        <v>2355421</v>
      </c>
      <c r="P118" s="6" t="n">
        <f aca="false">SUMIF(BOM_V56!$B:$B,B118,BOM_V56!$M:$M)+SUMIF(BOM_V57!$B:$B,B118,BOM_V57!$M:$M)+SUMIF(BOM_v6!$B:$B,B118,BOM_v6!$M:$M)</f>
        <v>588</v>
      </c>
      <c r="Q118" s="2" t="str">
        <f aca="false">IF(P118&gt;O118,"SÍ","")</f>
        <v/>
      </c>
      <c r="R118" s="38" t="n">
        <f aca="false">N118*(1+IF(Q118="SÍ",Supuestos!$B$14,0))</f>
        <v>0.0021</v>
      </c>
      <c r="S118" s="10" t="n">
        <f aca="false">M118*R118</f>
        <v>0.1407</v>
      </c>
      <c r="T118" s="2"/>
      <c r="U118" s="2" t="s">
        <v>437</v>
      </c>
    </row>
    <row r="119" customFormat="false" ht="15" hidden="false" customHeight="false" outlineLevel="0" collapsed="false">
      <c r="A119" s="2" t="s">
        <v>840</v>
      </c>
      <c r="B119" s="2" t="s">
        <v>563</v>
      </c>
      <c r="C119" s="2" t="s">
        <v>564</v>
      </c>
      <c r="D119" s="2" t="s">
        <v>448</v>
      </c>
      <c r="E119" s="2" t="s">
        <v>316</v>
      </c>
      <c r="F119" s="2" t="s">
        <v>238</v>
      </c>
      <c r="G119" s="2" t="n">
        <v>0</v>
      </c>
      <c r="H119" s="2" t="n">
        <v>2</v>
      </c>
      <c r="I119" s="2" t="n">
        <v>0</v>
      </c>
      <c r="J119" s="35" t="n">
        <v>1</v>
      </c>
      <c r="K119" s="6" t="n">
        <f aca="false">J119*Supuestos!D$5</f>
        <v>60</v>
      </c>
      <c r="L119" s="6" t="n">
        <f aca="false">IF(OR(U119="Resistors",U119="Capacitors"),ROUNDUP(K119*Supuestos!$B$16,0)+Supuestos!$B$17,ROUNDUP(K119*Supuestos!$B$18,0)+Supuestos!$B$19)</f>
        <v>7</v>
      </c>
      <c r="M119" s="6" t="n">
        <f aca="false">K119+L119</f>
        <v>67</v>
      </c>
      <c r="N119" s="33" t="n">
        <v>0.0021</v>
      </c>
      <c r="O119" s="22" t="n">
        <v>6812537</v>
      </c>
      <c r="P119" s="6" t="n">
        <f aca="false">SUMIF(BOM_V56!$B:$B,B119,BOM_V56!$M:$M)+SUMIF(BOM_V57!$B:$B,B119,BOM_V57!$M:$M)+SUMIF(BOM_v6!$B:$B,B119,BOM_v6!$M:$M)</f>
        <v>210</v>
      </c>
      <c r="Q119" s="2" t="str">
        <f aca="false">IF(P119&gt;O119,"SÍ","")</f>
        <v/>
      </c>
      <c r="R119" s="38" t="n">
        <f aca="false">N119*(1+IF(Q119="SÍ",Supuestos!$B$14,0))</f>
        <v>0.0021</v>
      </c>
      <c r="S119" s="10" t="n">
        <f aca="false">M119*R119</f>
        <v>0.1407</v>
      </c>
      <c r="T119" s="2"/>
      <c r="U119" s="2" t="s">
        <v>437</v>
      </c>
    </row>
    <row r="120" customFormat="false" ht="15" hidden="false" customHeight="false" outlineLevel="0" collapsed="false">
      <c r="A120" s="2" t="s">
        <v>841</v>
      </c>
      <c r="B120" s="2" t="s">
        <v>842</v>
      </c>
      <c r="C120" s="2" t="s">
        <v>843</v>
      </c>
      <c r="D120" s="2" t="s">
        <v>490</v>
      </c>
      <c r="E120" s="2" t="s">
        <v>546</v>
      </c>
      <c r="F120" s="2" t="s">
        <v>197</v>
      </c>
      <c r="G120" s="2" t="n">
        <v>0</v>
      </c>
      <c r="H120" s="2" t="n">
        <v>2</v>
      </c>
      <c r="I120" s="2" t="n">
        <v>0</v>
      </c>
      <c r="J120" s="35" t="n">
        <v>1</v>
      </c>
      <c r="K120" s="6" t="n">
        <f aca="false">J120*Supuestos!D$5</f>
        <v>60</v>
      </c>
      <c r="L120" s="6" t="n">
        <f aca="false">IF(OR(U120="Resistors",U120="Capacitors"),ROUNDUP(K120*Supuestos!$B$16,0)+Supuestos!$B$17,ROUNDUP(K120*Supuestos!$B$18,0)+Supuestos!$B$19)</f>
        <v>7</v>
      </c>
      <c r="M120" s="6" t="n">
        <f aca="false">K120+L120</f>
        <v>67</v>
      </c>
      <c r="N120" s="33" t="n">
        <v>0.0021</v>
      </c>
      <c r="O120" s="22" t="n">
        <v>527489</v>
      </c>
      <c r="P120" s="6" t="n">
        <f aca="false">SUMIF(BOM_V56!$B:$B,B120,BOM_V56!$M:$M)+SUMIF(BOM_V57!$B:$B,B120,BOM_V57!$M:$M)+SUMIF(BOM_v6!$B:$B,B120,BOM_v6!$M:$M)</f>
        <v>67</v>
      </c>
      <c r="Q120" s="2" t="str">
        <f aca="false">IF(P120&gt;O120,"SÍ","")</f>
        <v/>
      </c>
      <c r="R120" s="38" t="n">
        <f aca="false">N120*(1+IF(Q120="SÍ",Supuestos!$B$14,0))</f>
        <v>0.0021</v>
      </c>
      <c r="S120" s="10" t="n">
        <f aca="false">M120*R120</f>
        <v>0.1407</v>
      </c>
      <c r="T120" s="2"/>
      <c r="U120" s="2" t="s">
        <v>239</v>
      </c>
    </row>
    <row r="121" customFormat="false" ht="15" hidden="false" customHeight="false" outlineLevel="0" collapsed="false">
      <c r="A121" s="2" t="s">
        <v>844</v>
      </c>
      <c r="B121" s="2" t="s">
        <v>845</v>
      </c>
      <c r="C121" s="2" t="s">
        <v>846</v>
      </c>
      <c r="D121" s="2" t="s">
        <v>773</v>
      </c>
      <c r="E121" s="2" t="s">
        <v>316</v>
      </c>
      <c r="F121" s="2" t="s">
        <v>197</v>
      </c>
      <c r="G121" s="2" t="n">
        <v>0</v>
      </c>
      <c r="H121" s="2" t="n">
        <v>2</v>
      </c>
      <c r="I121" s="2" t="n">
        <v>0</v>
      </c>
      <c r="J121" s="35" t="n">
        <v>1</v>
      </c>
      <c r="K121" s="6" t="n">
        <f aca="false">J121*Supuestos!D$5</f>
        <v>60</v>
      </c>
      <c r="L121" s="6" t="n">
        <f aca="false">IF(OR(U121="Resistors",U121="Capacitors"),ROUNDUP(K121*Supuestos!$B$16,0)+Supuestos!$B$17,ROUNDUP(K121*Supuestos!$B$18,0)+Supuestos!$B$19)</f>
        <v>7</v>
      </c>
      <c r="M121" s="6" t="n">
        <f aca="false">K121+L121</f>
        <v>67</v>
      </c>
      <c r="N121" s="33" t="n">
        <v>0.0021</v>
      </c>
      <c r="O121" s="22" t="n">
        <v>78450</v>
      </c>
      <c r="P121" s="6" t="n">
        <f aca="false">SUMIF(BOM_V56!$B:$B,B121,BOM_V56!$M:$M)+SUMIF(BOM_V57!$B:$B,B121,BOM_V57!$M:$M)+SUMIF(BOM_v6!$B:$B,B121,BOM_v6!$M:$M)</f>
        <v>67</v>
      </c>
      <c r="Q121" s="2" t="str">
        <f aca="false">IF(P121&gt;O121,"SÍ","")</f>
        <v/>
      </c>
      <c r="R121" s="38" t="n">
        <f aca="false">N121*(1+IF(Q121="SÍ",Supuestos!$B$14,0))</f>
        <v>0.0021</v>
      </c>
      <c r="S121" s="10" t="n">
        <f aca="false">M121*R121</f>
        <v>0.1407</v>
      </c>
      <c r="T121" s="2"/>
      <c r="U121" s="2" t="s">
        <v>437</v>
      </c>
    </row>
    <row r="122" customFormat="false" ht="15" hidden="false" customHeight="false" outlineLevel="0" collapsed="false">
      <c r="A122" s="2" t="s">
        <v>847</v>
      </c>
      <c r="B122" s="2" t="s">
        <v>541</v>
      </c>
      <c r="C122" s="2" t="s">
        <v>542</v>
      </c>
      <c r="D122" s="2" t="s">
        <v>448</v>
      </c>
      <c r="E122" s="2" t="s">
        <v>316</v>
      </c>
      <c r="F122" s="2" t="s">
        <v>197</v>
      </c>
      <c r="G122" s="2" t="n">
        <v>0</v>
      </c>
      <c r="H122" s="2" t="n">
        <v>2</v>
      </c>
      <c r="I122" s="2" t="n">
        <v>0</v>
      </c>
      <c r="J122" s="35" t="n">
        <v>1</v>
      </c>
      <c r="K122" s="6" t="n">
        <f aca="false">J122*Supuestos!D$5</f>
        <v>60</v>
      </c>
      <c r="L122" s="6" t="n">
        <f aca="false">IF(OR(U122="Resistors",U122="Capacitors"),ROUNDUP(K122*Supuestos!$B$16,0)+Supuestos!$B$17,ROUNDUP(K122*Supuestos!$B$18,0)+Supuestos!$B$19)</f>
        <v>7</v>
      </c>
      <c r="M122" s="6" t="n">
        <f aca="false">K122+L122</f>
        <v>67</v>
      </c>
      <c r="N122" s="33" t="n">
        <v>0.002</v>
      </c>
      <c r="O122" s="22" t="n">
        <v>128214</v>
      </c>
      <c r="P122" s="6" t="n">
        <f aca="false">SUMIF(BOM_V56!$B:$B,B122,BOM_V56!$M:$M)+SUMIF(BOM_V57!$B:$B,B122,BOM_V57!$M:$M)+SUMIF(BOM_v6!$B:$B,B122,BOM_v6!$M:$M)</f>
        <v>1098</v>
      </c>
      <c r="Q122" s="2" t="str">
        <f aca="false">IF(P122&gt;O122,"SÍ","")</f>
        <v/>
      </c>
      <c r="R122" s="38" t="n">
        <f aca="false">N122*(1+IF(Q122="SÍ",Supuestos!$B$14,0))</f>
        <v>0.002</v>
      </c>
      <c r="S122" s="10" t="n">
        <f aca="false">M122*R122</f>
        <v>0.134</v>
      </c>
      <c r="T122" s="2"/>
      <c r="U122" s="2" t="s">
        <v>437</v>
      </c>
    </row>
    <row r="123" customFormat="false" ht="15" hidden="false" customHeight="false" outlineLevel="0" collapsed="false">
      <c r="A123" s="2" t="s">
        <v>848</v>
      </c>
      <c r="B123" s="2" t="s">
        <v>569</v>
      </c>
      <c r="C123" s="2" t="s">
        <v>570</v>
      </c>
      <c r="D123" s="2" t="s">
        <v>448</v>
      </c>
      <c r="E123" s="2" t="s">
        <v>316</v>
      </c>
      <c r="F123" s="2" t="s">
        <v>197</v>
      </c>
      <c r="G123" s="2" t="n">
        <v>0</v>
      </c>
      <c r="H123" s="2" t="n">
        <v>2</v>
      </c>
      <c r="I123" s="2" t="n">
        <v>0</v>
      </c>
      <c r="J123" s="35" t="n">
        <v>1</v>
      </c>
      <c r="K123" s="6" t="n">
        <f aca="false">J123*Supuestos!D$5</f>
        <v>60</v>
      </c>
      <c r="L123" s="6" t="n">
        <f aca="false">IF(OR(U123="Resistors",U123="Capacitors"),ROUNDUP(K123*Supuestos!$B$16,0)+Supuestos!$B$17,ROUNDUP(K123*Supuestos!$B$18,0)+Supuestos!$B$19)</f>
        <v>7</v>
      </c>
      <c r="M123" s="6" t="n">
        <f aca="false">K123+L123</f>
        <v>67</v>
      </c>
      <c r="N123" s="33" t="n">
        <v>0.002</v>
      </c>
      <c r="O123" s="22" t="n">
        <v>9410</v>
      </c>
      <c r="P123" s="6" t="n">
        <f aca="false">SUMIF(BOM_V56!$B:$B,B123,BOM_V56!$M:$M)+SUMIF(BOM_V57!$B:$B,B123,BOM_V57!$M:$M)+SUMIF(BOM_v6!$B:$B,B123,BOM_v6!$M:$M)</f>
        <v>588</v>
      </c>
      <c r="Q123" s="2" t="str">
        <f aca="false">IF(P123&gt;O123,"SÍ","")</f>
        <v/>
      </c>
      <c r="R123" s="38" t="n">
        <f aca="false">N123*(1+IF(Q123="SÍ",Supuestos!$B$14,0))</f>
        <v>0.002</v>
      </c>
      <c r="S123" s="10" t="n">
        <f aca="false">M123*R123</f>
        <v>0.134</v>
      </c>
      <c r="T123" s="2"/>
      <c r="U123" s="2" t="s">
        <v>437</v>
      </c>
    </row>
    <row r="124" customFormat="false" ht="15" hidden="false" customHeight="false" outlineLevel="0" collapsed="false">
      <c r="A124" s="2" t="s">
        <v>849</v>
      </c>
      <c r="B124" s="2" t="s">
        <v>572</v>
      </c>
      <c r="C124" s="2" t="s">
        <v>573</v>
      </c>
      <c r="D124" s="2" t="s">
        <v>448</v>
      </c>
      <c r="E124" s="2" t="s">
        <v>316</v>
      </c>
      <c r="F124" s="2" t="s">
        <v>197</v>
      </c>
      <c r="G124" s="2" t="n">
        <v>0</v>
      </c>
      <c r="H124" s="2" t="n">
        <v>2</v>
      </c>
      <c r="I124" s="2" t="n">
        <v>0</v>
      </c>
      <c r="J124" s="35" t="n">
        <v>1</v>
      </c>
      <c r="K124" s="6" t="n">
        <f aca="false">J124*Supuestos!D$5</f>
        <v>60</v>
      </c>
      <c r="L124" s="6" t="n">
        <f aca="false">IF(OR(U124="Resistors",U124="Capacitors"),ROUNDUP(K124*Supuestos!$B$16,0)+Supuestos!$B$17,ROUNDUP(K124*Supuestos!$B$18,0)+Supuestos!$B$19)</f>
        <v>7</v>
      </c>
      <c r="M124" s="6" t="n">
        <f aca="false">K124+L124</f>
        <v>67</v>
      </c>
      <c r="N124" s="33" t="n">
        <v>0.0018</v>
      </c>
      <c r="O124" s="22" t="n">
        <v>273494</v>
      </c>
      <c r="P124" s="6" t="n">
        <f aca="false">SUMIF(BOM_V56!$B:$B,B124,BOM_V56!$M:$M)+SUMIF(BOM_V57!$B:$B,B124,BOM_V57!$M:$M)+SUMIF(BOM_v6!$B:$B,B124,BOM_v6!$M:$M)</f>
        <v>588</v>
      </c>
      <c r="Q124" s="2" t="str">
        <f aca="false">IF(P124&gt;O124,"SÍ","")</f>
        <v/>
      </c>
      <c r="R124" s="38" t="n">
        <f aca="false">N124*(1+IF(Q124="SÍ",Supuestos!$B$14,0))</f>
        <v>0.0018</v>
      </c>
      <c r="S124" s="10" t="n">
        <f aca="false">M124*R124</f>
        <v>0.1206</v>
      </c>
      <c r="T124" s="2"/>
      <c r="U124" s="2" t="s">
        <v>437</v>
      </c>
    </row>
    <row r="125" customFormat="false" ht="15" hidden="false" customHeight="false" outlineLevel="0" collapsed="false">
      <c r="A125" s="2" t="s">
        <v>850</v>
      </c>
      <c r="B125" s="2" t="s">
        <v>851</v>
      </c>
      <c r="C125" s="2" t="s">
        <v>852</v>
      </c>
      <c r="D125" s="2" t="s">
        <v>448</v>
      </c>
      <c r="E125" s="2" t="s">
        <v>316</v>
      </c>
      <c r="F125" s="2" t="s">
        <v>238</v>
      </c>
      <c r="G125" s="2" t="n">
        <v>0</v>
      </c>
      <c r="H125" s="2" t="n">
        <v>2</v>
      </c>
      <c r="I125" s="2" t="n">
        <v>0</v>
      </c>
      <c r="J125" s="35" t="n">
        <v>1</v>
      </c>
      <c r="K125" s="6" t="n">
        <f aca="false">J125*Supuestos!D$5</f>
        <v>60</v>
      </c>
      <c r="L125" s="6" t="n">
        <f aca="false">IF(OR(U125="Resistors",U125="Capacitors"),ROUNDUP(K125*Supuestos!$B$16,0)+Supuestos!$B$17,ROUNDUP(K125*Supuestos!$B$18,0)+Supuestos!$B$19)</f>
        <v>7</v>
      </c>
      <c r="M125" s="6" t="n">
        <f aca="false">K125+L125</f>
        <v>67</v>
      </c>
      <c r="N125" s="33" t="n">
        <v>0.0018</v>
      </c>
      <c r="O125" s="22" t="n">
        <v>5951749</v>
      </c>
      <c r="P125" s="6" t="n">
        <f aca="false">SUMIF(BOM_V56!$B:$B,B125,BOM_V56!$M:$M)+SUMIF(BOM_V57!$B:$B,B125,BOM_V57!$M:$M)+SUMIF(BOM_v6!$B:$B,B125,BOM_v6!$M:$M)</f>
        <v>67</v>
      </c>
      <c r="Q125" s="2" t="str">
        <f aca="false">IF(P125&gt;O125,"SÍ","")</f>
        <v/>
      </c>
      <c r="R125" s="38" t="n">
        <f aca="false">N125*(1+IF(Q125="SÍ",Supuestos!$B$14,0))</f>
        <v>0.0018</v>
      </c>
      <c r="S125" s="10" t="n">
        <f aca="false">M125*R125</f>
        <v>0.1206</v>
      </c>
      <c r="T125" s="2"/>
      <c r="U125" s="2" t="s">
        <v>437</v>
      </c>
    </row>
    <row r="126" customFormat="false" ht="15" hidden="false" customHeight="false" outlineLevel="0" collapsed="false">
      <c r="A126" s="2" t="s">
        <v>574</v>
      </c>
      <c r="B126" s="2" t="s">
        <v>575</v>
      </c>
      <c r="C126" s="2" t="s">
        <v>576</v>
      </c>
      <c r="D126" s="2" t="s">
        <v>577</v>
      </c>
      <c r="E126" s="2" t="s">
        <v>316</v>
      </c>
      <c r="F126" s="2" t="s">
        <v>197</v>
      </c>
      <c r="G126" s="2" t="n">
        <v>0</v>
      </c>
      <c r="H126" s="2" t="n">
        <v>2</v>
      </c>
      <c r="I126" s="2" t="n">
        <v>0</v>
      </c>
      <c r="J126" s="35" t="n">
        <v>1</v>
      </c>
      <c r="K126" s="6" t="n">
        <f aca="false">J126*Supuestos!D$5</f>
        <v>60</v>
      </c>
      <c r="L126" s="6" t="n">
        <f aca="false">IF(OR(U126="Resistors",U126="Capacitors"),ROUNDUP(K126*Supuestos!$B$16,0)+Supuestos!$B$17,ROUNDUP(K126*Supuestos!$B$18,0)+Supuestos!$B$19)</f>
        <v>7</v>
      </c>
      <c r="M126" s="6" t="n">
        <f aca="false">K126+L126</f>
        <v>67</v>
      </c>
      <c r="N126" s="33" t="n">
        <v>0.0015</v>
      </c>
      <c r="O126" s="22" t="n">
        <v>1</v>
      </c>
      <c r="P126" s="6" t="n">
        <f aca="false">SUMIF(BOM_V56!$B:$B,B126,BOM_V56!$M:$M)+SUMIF(BOM_V57!$B:$B,B126,BOM_V57!$M:$M)+SUMIF(BOM_v6!$B:$B,B126,BOM_v6!$M:$M)</f>
        <v>588</v>
      </c>
      <c r="Q126" s="2" t="str">
        <f aca="false">IF(P126&gt;O126,"SÍ","")</f>
        <v>SÍ</v>
      </c>
      <c r="R126" s="38" t="n">
        <f aca="false">N126*(1+IF(Q126="SÍ",Supuestos!$B$14,0))</f>
        <v>0.001725</v>
      </c>
      <c r="S126" s="10" t="n">
        <f aca="false">M126*R126</f>
        <v>0.115575</v>
      </c>
      <c r="T126" s="2"/>
      <c r="U126" s="2" t="s">
        <v>437</v>
      </c>
    </row>
    <row r="127" customFormat="false" ht="15" hidden="false" customHeight="false" outlineLevel="0" collapsed="false">
      <c r="A127" s="2" t="s">
        <v>853</v>
      </c>
      <c r="B127" s="2" t="s">
        <v>520</v>
      </c>
      <c r="C127" s="2" t="s">
        <v>521</v>
      </c>
      <c r="D127" s="2" t="s">
        <v>448</v>
      </c>
      <c r="E127" s="2" t="s">
        <v>316</v>
      </c>
      <c r="F127" s="2" t="s">
        <v>238</v>
      </c>
      <c r="G127" s="2" t="n">
        <v>0</v>
      </c>
      <c r="H127" s="2" t="n">
        <v>2</v>
      </c>
      <c r="I127" s="2" t="n">
        <v>0</v>
      </c>
      <c r="J127" s="35" t="n">
        <v>1</v>
      </c>
      <c r="K127" s="6" t="n">
        <f aca="false">J127*Supuestos!D$5</f>
        <v>60</v>
      </c>
      <c r="L127" s="6" t="n">
        <f aca="false">IF(OR(U127="Resistors",U127="Capacitors"),ROUNDUP(K127*Supuestos!$B$16,0)+Supuestos!$B$17,ROUNDUP(K127*Supuestos!$B$18,0)+Supuestos!$B$19)</f>
        <v>7</v>
      </c>
      <c r="M127" s="6" t="n">
        <f aca="false">K127+L127</f>
        <v>67</v>
      </c>
      <c r="N127" s="33" t="n">
        <v>0.0017</v>
      </c>
      <c r="O127" s="22" t="n">
        <v>34221641</v>
      </c>
      <c r="P127" s="6" t="n">
        <f aca="false">SUMIF(BOM_V56!$B:$B,B127,BOM_V56!$M:$M)+SUMIF(BOM_V57!$B:$B,B127,BOM_V57!$M:$M)+SUMIF(BOM_v6!$B:$B,B127,BOM_v6!$M:$M)</f>
        <v>3648</v>
      </c>
      <c r="Q127" s="2" t="str">
        <f aca="false">IF(P127&gt;O127,"SÍ","")</f>
        <v/>
      </c>
      <c r="R127" s="38" t="n">
        <f aca="false">N127*(1+IF(Q127="SÍ",Supuestos!$B$14,0))</f>
        <v>0.0017</v>
      </c>
      <c r="S127" s="10" t="n">
        <f aca="false">M127*R127</f>
        <v>0.1139</v>
      </c>
      <c r="T127" s="2"/>
      <c r="U127" s="2" t="s">
        <v>437</v>
      </c>
    </row>
    <row r="128" customFormat="false" ht="15" hidden="false" customHeight="false" outlineLevel="0" collapsed="false">
      <c r="A128" s="2" t="s">
        <v>854</v>
      </c>
      <c r="B128" s="2" t="s">
        <v>579</v>
      </c>
      <c r="C128" s="2" t="s">
        <v>580</v>
      </c>
      <c r="D128" s="2" t="s">
        <v>448</v>
      </c>
      <c r="E128" s="2" t="s">
        <v>316</v>
      </c>
      <c r="F128" s="2" t="s">
        <v>238</v>
      </c>
      <c r="G128" s="2" t="n">
        <v>0</v>
      </c>
      <c r="H128" s="2" t="n">
        <v>2</v>
      </c>
      <c r="I128" s="2" t="n">
        <v>0</v>
      </c>
      <c r="J128" s="35" t="n">
        <v>1</v>
      </c>
      <c r="K128" s="6" t="n">
        <f aca="false">J128*Supuestos!D$5</f>
        <v>60</v>
      </c>
      <c r="L128" s="6" t="n">
        <f aca="false">IF(OR(U128="Resistors",U128="Capacitors"),ROUNDUP(K128*Supuestos!$B$16,0)+Supuestos!$B$17,ROUNDUP(K128*Supuestos!$B$18,0)+Supuestos!$B$19)</f>
        <v>7</v>
      </c>
      <c r="M128" s="6" t="n">
        <f aca="false">K128+L128</f>
        <v>67</v>
      </c>
      <c r="N128" s="33" t="n">
        <v>0.0015</v>
      </c>
      <c r="O128" s="22" t="n">
        <v>1146145</v>
      </c>
      <c r="P128" s="6" t="n">
        <f aca="false">SUMIF(BOM_V56!$B:$B,B128,BOM_V56!$M:$M)+SUMIF(BOM_V57!$B:$B,B128,BOM_V57!$M:$M)+SUMIF(BOM_v6!$B:$B,B128,BOM_v6!$M:$M)</f>
        <v>588</v>
      </c>
      <c r="Q128" s="2" t="str">
        <f aca="false">IF(P128&gt;O128,"SÍ","")</f>
        <v/>
      </c>
      <c r="R128" s="38" t="n">
        <f aca="false">N128*(1+IF(Q128="SÍ",Supuestos!$B$14,0))</f>
        <v>0.0015</v>
      </c>
      <c r="S128" s="10" t="n">
        <f aca="false">M128*R128</f>
        <v>0.1005</v>
      </c>
      <c r="T128" s="2"/>
      <c r="U128" s="2" t="s">
        <v>437</v>
      </c>
    </row>
    <row r="129" customFormat="false" ht="15" hidden="false" customHeight="false" outlineLevel="0" collapsed="false">
      <c r="A129" s="2" t="s">
        <v>855</v>
      </c>
      <c r="B129" s="2" t="s">
        <v>585</v>
      </c>
      <c r="C129" s="2" t="s">
        <v>586</v>
      </c>
      <c r="D129" s="2" t="s">
        <v>587</v>
      </c>
      <c r="E129" s="2" t="s">
        <v>316</v>
      </c>
      <c r="F129" s="2" t="s">
        <v>197</v>
      </c>
      <c r="G129" s="2" t="n">
        <v>0</v>
      </c>
      <c r="H129" s="2" t="n">
        <v>2</v>
      </c>
      <c r="I129" s="2" t="n">
        <v>0</v>
      </c>
      <c r="J129" s="35" t="n">
        <v>1</v>
      </c>
      <c r="K129" s="6" t="n">
        <f aca="false">J129*Supuestos!D$5</f>
        <v>60</v>
      </c>
      <c r="L129" s="6" t="n">
        <f aca="false">IF(OR(U129="Resistors",U129="Capacitors"),ROUNDUP(K129*Supuestos!$B$16,0)+Supuestos!$B$17,ROUNDUP(K129*Supuestos!$B$18,0)+Supuestos!$B$19)</f>
        <v>7</v>
      </c>
      <c r="M129" s="6" t="n">
        <f aca="false">K129+L129</f>
        <v>67</v>
      </c>
      <c r="N129" s="33" t="n">
        <v>0.0014</v>
      </c>
      <c r="O129" s="22" t="n">
        <v>1630</v>
      </c>
      <c r="P129" s="6" t="n">
        <f aca="false">SUMIF(BOM_V56!$B:$B,B129,BOM_V56!$M:$M)+SUMIF(BOM_V57!$B:$B,B129,BOM_V57!$M:$M)+SUMIF(BOM_v6!$B:$B,B129,BOM_v6!$M:$M)</f>
        <v>588</v>
      </c>
      <c r="Q129" s="2" t="str">
        <f aca="false">IF(P129&gt;O129,"SÍ","")</f>
        <v/>
      </c>
      <c r="R129" s="38" t="n">
        <f aca="false">N129*(1+IF(Q129="SÍ",Supuestos!$B$14,0))</f>
        <v>0.0014</v>
      </c>
      <c r="S129" s="10" t="n">
        <f aca="false">M129*R129</f>
        <v>0.0938</v>
      </c>
      <c r="T129" s="2"/>
      <c r="U129" s="2" t="s">
        <v>437</v>
      </c>
    </row>
    <row r="130" customFormat="false" ht="15" hidden="false" customHeight="false" outlineLevel="0" collapsed="false">
      <c r="A130" s="2" t="s">
        <v>856</v>
      </c>
      <c r="B130" s="2" t="s">
        <v>857</v>
      </c>
      <c r="C130" s="2" t="s">
        <v>858</v>
      </c>
      <c r="D130" s="2" t="s">
        <v>448</v>
      </c>
      <c r="E130" s="2" t="s">
        <v>546</v>
      </c>
      <c r="F130" s="2" t="s">
        <v>238</v>
      </c>
      <c r="G130" s="2" t="n">
        <v>0</v>
      </c>
      <c r="H130" s="2" t="n">
        <v>2</v>
      </c>
      <c r="I130" s="2" t="n">
        <v>0</v>
      </c>
      <c r="J130" s="35" t="n">
        <v>1</v>
      </c>
      <c r="K130" s="6" t="n">
        <f aca="false">J130*Supuestos!D$5</f>
        <v>60</v>
      </c>
      <c r="L130" s="6" t="n">
        <f aca="false">IF(OR(U130="Resistors",U130="Capacitors"),ROUNDUP(K130*Supuestos!$B$16,0)+Supuestos!$B$17,ROUNDUP(K130*Supuestos!$B$18,0)+Supuestos!$B$19)</f>
        <v>7</v>
      </c>
      <c r="M130" s="6" t="n">
        <f aca="false">K130+L130</f>
        <v>67</v>
      </c>
      <c r="N130" s="33" t="n">
        <v>0.0012</v>
      </c>
      <c r="O130" s="22" t="n">
        <v>9033306</v>
      </c>
      <c r="P130" s="6" t="n">
        <f aca="false">SUMIF(BOM_V56!$B:$B,B130,BOM_V56!$M:$M)+SUMIF(BOM_V57!$B:$B,B130,BOM_V57!$M:$M)+SUMIF(BOM_v6!$B:$B,B130,BOM_v6!$M:$M)</f>
        <v>67</v>
      </c>
      <c r="Q130" s="2" t="str">
        <f aca="false">IF(P130&gt;O130,"SÍ","")</f>
        <v/>
      </c>
      <c r="R130" s="38" t="n">
        <f aca="false">N130*(1+IF(Q130="SÍ",Supuestos!$B$14,0))</f>
        <v>0.0012</v>
      </c>
      <c r="S130" s="10" t="n">
        <f aca="false">M130*R130</f>
        <v>0.0804</v>
      </c>
      <c r="T130" s="2"/>
      <c r="U130" s="2" t="s">
        <v>437</v>
      </c>
    </row>
    <row r="131" customFormat="false" ht="15" hidden="false" customHeight="false" outlineLevel="0" collapsed="false">
      <c r="A131" s="12" t="s">
        <v>6</v>
      </c>
      <c r="B131" s="14"/>
      <c r="C131" s="14"/>
      <c r="D131" s="14"/>
      <c r="E131" s="14"/>
      <c r="F131" s="14"/>
      <c r="G131" s="14"/>
      <c r="H131" s="14"/>
      <c r="I131" s="14"/>
      <c r="J131" s="40" t="n">
        <f aca="false">SUM(J5:J130)</f>
        <v>299</v>
      </c>
      <c r="K131" s="14"/>
      <c r="L131" s="14"/>
      <c r="M131" s="14"/>
      <c r="N131" s="14"/>
      <c r="O131" s="14"/>
      <c r="P131" s="14"/>
      <c r="Q131" s="14"/>
      <c r="R131" s="14"/>
      <c r="S131" s="13" t="n">
        <f aca="false">SUM(S5:S130)</f>
        <v>8800.414015</v>
      </c>
      <c r="T131" s="14"/>
      <c r="U131" s="14"/>
    </row>
  </sheetData>
  <autoFilter ref="A4:U130"/>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drawing r:id="rId1"/>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H16"/>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11"/>
    <col collapsed="false" customWidth="true" hidden="false" outlineLevel="0" max="2" min="2" style="0" width="26"/>
    <col collapsed="false" customWidth="true" hidden="false" outlineLevel="0" max="3" min="3" style="0" width="16"/>
    <col collapsed="false" customWidth="true" hidden="false" outlineLevel="0" max="4" min="4" style="0" width="44"/>
    <col collapsed="false" customWidth="true" hidden="false" outlineLevel="0" max="5" min="5" style="0" width="12"/>
    <col collapsed="false" customWidth="true" hidden="false" outlineLevel="0" max="6" min="6" style="0" width="14"/>
    <col collapsed="false" customWidth="true" hidden="false" outlineLevel="0" max="7" min="7" style="0" width="10"/>
    <col collapsed="false" customWidth="true" hidden="false" outlineLevel="0" max="8" min="8" style="0" width="70"/>
  </cols>
  <sheetData>
    <row r="1" customFormat="false" ht="17.35" hidden="false" customHeight="false" outlineLevel="0" collapsed="false">
      <c r="A1" s="1" t="s">
        <v>859</v>
      </c>
      <c r="B1" s="2"/>
      <c r="C1" s="2"/>
      <c r="D1" s="2"/>
      <c r="E1" s="2"/>
      <c r="F1" s="2"/>
      <c r="G1" s="2"/>
      <c r="H1" s="2"/>
    </row>
    <row r="2" customFormat="false" ht="15" hidden="false" customHeight="false" outlineLevel="0" collapsed="false">
      <c r="A2" s="3" t="s">
        <v>860</v>
      </c>
      <c r="B2" s="2"/>
      <c r="C2" s="2"/>
      <c r="D2" s="2"/>
      <c r="E2" s="2"/>
      <c r="F2" s="2"/>
      <c r="G2" s="2"/>
      <c r="H2" s="2"/>
    </row>
    <row r="3" customFormat="false" ht="15" hidden="false" customHeight="false" outlineLevel="0" collapsed="false">
      <c r="A3" s="2"/>
      <c r="B3" s="2"/>
      <c r="C3" s="2"/>
      <c r="D3" s="2"/>
      <c r="E3" s="2"/>
      <c r="F3" s="2"/>
      <c r="G3" s="2"/>
      <c r="H3" s="2"/>
    </row>
    <row r="4" customFormat="false" ht="23.85" hidden="false" customHeight="false" outlineLevel="0" collapsed="false">
      <c r="A4" s="4" t="s">
        <v>172</v>
      </c>
      <c r="B4" s="4" t="s">
        <v>173</v>
      </c>
      <c r="C4" s="4" t="s">
        <v>861</v>
      </c>
      <c r="D4" s="4" t="s">
        <v>862</v>
      </c>
      <c r="E4" s="4" t="s">
        <v>863</v>
      </c>
      <c r="F4" s="4" t="s">
        <v>186</v>
      </c>
      <c r="G4" s="4" t="s">
        <v>864</v>
      </c>
      <c r="H4" s="4" t="s">
        <v>865</v>
      </c>
    </row>
    <row r="5" customFormat="false" ht="31.5" hidden="false" customHeight="true" outlineLevel="0" collapsed="false">
      <c r="A5" s="2" t="s">
        <v>287</v>
      </c>
      <c r="B5" s="2" t="s">
        <v>288</v>
      </c>
      <c r="C5" s="2" t="s">
        <v>866</v>
      </c>
      <c r="D5" s="41" t="s">
        <v>867</v>
      </c>
      <c r="E5" s="22" t="n">
        <v>0</v>
      </c>
      <c r="F5" s="5" t="n">
        <f aca="false">SUMIF(BOM_V56!$B:$B,A5,BOM_V56!$M:$M)+SUMIF(BOM_V57!$B:$B,A5,BOM_V57!$M:$M)+SUMIF(BOM_v6!$B:$B,A5,BOM_v6!$M:$M)</f>
        <v>570</v>
      </c>
      <c r="G5" s="6" t="n">
        <f aca="false">MAX(0,F5-E5)</f>
        <v>570</v>
      </c>
      <c r="H5" s="42" t="s">
        <v>868</v>
      </c>
    </row>
    <row r="6" customFormat="false" ht="31.5" hidden="false" customHeight="true" outlineLevel="0" collapsed="false">
      <c r="A6" s="2" t="s">
        <v>229</v>
      </c>
      <c r="B6" s="2" t="s">
        <v>230</v>
      </c>
      <c r="C6" s="2" t="s">
        <v>866</v>
      </c>
      <c r="D6" s="41" t="s">
        <v>869</v>
      </c>
      <c r="E6" s="22" t="n">
        <v>1</v>
      </c>
      <c r="F6" s="5" t="n">
        <f aca="false">SUMIF(BOM_V56!$B:$B,A6,BOM_V56!$M:$M)+SUMIF(BOM_V57!$B:$B,A6,BOM_V57!$M:$M)+SUMIF(BOM_v6!$B:$B,A6,BOM_v6!$M:$M)</f>
        <v>570</v>
      </c>
      <c r="G6" s="6" t="n">
        <f aca="false">MAX(0,F6-E6)</f>
        <v>569</v>
      </c>
      <c r="H6" s="42" t="s">
        <v>870</v>
      </c>
    </row>
    <row r="7" customFormat="false" ht="31.5" hidden="false" customHeight="true" outlineLevel="0" collapsed="false">
      <c r="A7" s="2" t="s">
        <v>453</v>
      </c>
      <c r="B7" s="2" t="s">
        <v>454</v>
      </c>
      <c r="C7" s="2" t="s">
        <v>866</v>
      </c>
      <c r="D7" s="41" t="s">
        <v>871</v>
      </c>
      <c r="E7" s="22" t="n">
        <v>551</v>
      </c>
      <c r="F7" s="5" t="n">
        <f aca="false">SUMIF(BOM_V56!$B:$B,A7,BOM_V56!$M:$M)+SUMIF(BOM_V57!$B:$B,A7,BOM_V57!$M:$M)+SUMIF(BOM_v6!$B:$B,A7,BOM_v6!$M:$M)</f>
        <v>570</v>
      </c>
      <c r="G7" s="6" t="n">
        <f aca="false">MAX(0,F7-E7)</f>
        <v>19</v>
      </c>
      <c r="H7" s="42" t="s">
        <v>872</v>
      </c>
    </row>
    <row r="8" customFormat="false" ht="31.5" hidden="false" customHeight="true" outlineLevel="0" collapsed="false">
      <c r="A8" s="2" t="s">
        <v>326</v>
      </c>
      <c r="B8" s="2" t="s">
        <v>327</v>
      </c>
      <c r="C8" s="2" t="s">
        <v>866</v>
      </c>
      <c r="D8" s="41" t="s">
        <v>873</v>
      </c>
      <c r="E8" s="22" t="n">
        <v>171</v>
      </c>
      <c r="F8" s="5" t="n">
        <f aca="false">SUMIF(BOM_V56!$B:$B,A8,BOM_V56!$M:$M)+SUMIF(BOM_V57!$B:$B,A8,BOM_V57!$M:$M)+SUMIF(BOM_v6!$B:$B,A8,BOM_v6!$M:$M)</f>
        <v>570</v>
      </c>
      <c r="G8" s="6" t="n">
        <f aca="false">MAX(0,F8-E8)</f>
        <v>399</v>
      </c>
      <c r="H8" s="42" t="s">
        <v>874</v>
      </c>
    </row>
    <row r="9" customFormat="false" ht="31.5" hidden="false" customHeight="true" outlineLevel="0" collapsed="false">
      <c r="A9" s="2" t="s">
        <v>318</v>
      </c>
      <c r="B9" s="2" t="s">
        <v>319</v>
      </c>
      <c r="C9" s="2" t="s">
        <v>866</v>
      </c>
      <c r="D9" s="41" t="s">
        <v>875</v>
      </c>
      <c r="E9" s="22" t="n">
        <v>0</v>
      </c>
      <c r="F9" s="5" t="n">
        <f aca="false">SUMIF(BOM_V56!$B:$B,A9,BOM_V56!$M:$M)+SUMIF(BOM_V57!$B:$B,A9,BOM_V57!$M:$M)+SUMIF(BOM_v6!$B:$B,A9,BOM_v6!$M:$M)</f>
        <v>570</v>
      </c>
      <c r="G9" s="6" t="n">
        <f aca="false">MAX(0,F9-E9)</f>
        <v>570</v>
      </c>
      <c r="H9" s="42" t="s">
        <v>876</v>
      </c>
    </row>
    <row r="10" customFormat="false" ht="31.5" hidden="false" customHeight="true" outlineLevel="0" collapsed="false">
      <c r="A10" s="2" t="s">
        <v>575</v>
      </c>
      <c r="B10" s="2" t="s">
        <v>576</v>
      </c>
      <c r="C10" s="2" t="s">
        <v>866</v>
      </c>
      <c r="D10" s="41" t="s">
        <v>877</v>
      </c>
      <c r="E10" s="22" t="n">
        <v>1</v>
      </c>
      <c r="F10" s="5" t="n">
        <f aca="false">SUMIF(BOM_V56!$B:$B,A10,BOM_V56!$M:$M)+SUMIF(BOM_V57!$B:$B,A10,BOM_V57!$M:$M)+SUMIF(BOM_v6!$B:$B,A10,BOM_v6!$M:$M)</f>
        <v>588</v>
      </c>
      <c r="G10" s="6" t="n">
        <f aca="false">MAX(0,F10-E10)</f>
        <v>587</v>
      </c>
      <c r="H10" s="42" t="s">
        <v>878</v>
      </c>
    </row>
    <row r="11" customFormat="false" ht="31.5" hidden="false" customHeight="true" outlineLevel="0" collapsed="false">
      <c r="A11" s="2" t="s">
        <v>293</v>
      </c>
      <c r="B11" s="2" t="s">
        <v>294</v>
      </c>
      <c r="C11" s="2" t="s">
        <v>866</v>
      </c>
      <c r="D11" s="41" t="s">
        <v>879</v>
      </c>
      <c r="E11" s="22" t="n">
        <v>2</v>
      </c>
      <c r="F11" s="5" t="n">
        <f aca="false">SUMIF(BOM_V56!$B:$B,A11,BOM_V56!$M:$M)+SUMIF(BOM_V57!$B:$B,A11,BOM_V57!$M:$M)+SUMIF(BOM_v6!$B:$B,A11,BOM_v6!$M:$M)</f>
        <v>570</v>
      </c>
      <c r="G11" s="6" t="n">
        <f aca="false">MAX(0,F11-E11)</f>
        <v>568</v>
      </c>
      <c r="H11" s="42" t="s">
        <v>880</v>
      </c>
    </row>
    <row r="12" customFormat="false" ht="31.5" hidden="false" customHeight="true" outlineLevel="0" collapsed="false">
      <c r="A12" s="2" t="s">
        <v>193</v>
      </c>
      <c r="B12" s="2" t="s">
        <v>194</v>
      </c>
      <c r="C12" s="2" t="s">
        <v>866</v>
      </c>
      <c r="D12" s="41" t="s">
        <v>881</v>
      </c>
      <c r="E12" s="22" t="n">
        <v>2</v>
      </c>
      <c r="F12" s="5" t="n">
        <f aca="false">SUMIF(BOM_V56!$B:$B,A12,BOM_V56!$M:$M)+SUMIF(BOM_V57!$B:$B,A12,BOM_V57!$M:$M)+SUMIF(BOM_v6!$B:$B,A12,BOM_v6!$M:$M)</f>
        <v>570</v>
      </c>
      <c r="G12" s="6" t="n">
        <f aca="false">MAX(0,F12-E12)</f>
        <v>568</v>
      </c>
      <c r="H12" s="42" t="s">
        <v>882</v>
      </c>
    </row>
    <row r="13" customFormat="false" ht="31.5" hidden="false" customHeight="true" outlineLevel="0" collapsed="false">
      <c r="A13" s="2" t="s">
        <v>645</v>
      </c>
      <c r="B13" s="2" t="s">
        <v>646</v>
      </c>
      <c r="C13" s="2" t="s">
        <v>5</v>
      </c>
      <c r="D13" s="41" t="s">
        <v>883</v>
      </c>
      <c r="E13" s="22" t="n">
        <v>44</v>
      </c>
      <c r="F13" s="5" t="n">
        <f aca="false">SUMIF(BOM_V56!$B:$B,A13,BOM_V56!$M:$M)+SUMIF(BOM_V57!$B:$B,A13,BOM_V57!$M:$M)+SUMIF(BOM_v6!$B:$B,A13,BOM_v6!$M:$M)</f>
        <v>62</v>
      </c>
      <c r="G13" s="6" t="n">
        <f aca="false">MAX(0,F13-E13)</f>
        <v>18</v>
      </c>
      <c r="H13" s="42" t="s">
        <v>884</v>
      </c>
    </row>
    <row r="14" customFormat="false" ht="31.5" hidden="false" customHeight="true" outlineLevel="0" collapsed="false">
      <c r="A14" s="2" t="s">
        <v>392</v>
      </c>
      <c r="B14" s="2" t="s">
        <v>393</v>
      </c>
      <c r="C14" s="2" t="s">
        <v>885</v>
      </c>
      <c r="D14" s="41" t="s">
        <v>886</v>
      </c>
      <c r="E14" s="22" t="n">
        <v>62</v>
      </c>
      <c r="F14" s="5" t="n">
        <f aca="false">SUMIF(BOM_V56!$B:$B,A14,BOM_V56!$M:$M)+SUMIF(BOM_V57!$B:$B,A14,BOM_V57!$M:$M)+SUMIF(BOM_v6!$B:$B,A14,BOM_v6!$M:$M)</f>
        <v>521</v>
      </c>
      <c r="G14" s="6" t="n">
        <f aca="false">MAX(0,F14-E14)</f>
        <v>459</v>
      </c>
      <c r="H14" s="42" t="s">
        <v>887</v>
      </c>
    </row>
    <row r="15" customFormat="false" ht="31.5" hidden="false" customHeight="true" outlineLevel="0" collapsed="false">
      <c r="A15" s="2" t="s">
        <v>582</v>
      </c>
      <c r="B15" s="2" t="s">
        <v>583</v>
      </c>
      <c r="C15" s="2" t="s">
        <v>3</v>
      </c>
      <c r="D15" s="41" t="s">
        <v>888</v>
      </c>
      <c r="E15" s="22" t="n">
        <v>53</v>
      </c>
      <c r="F15" s="5" t="n">
        <f aca="false">SUMIF(BOM_V56!$B:$B,A15,BOM_V56!$M:$M)+SUMIF(BOM_V57!$B:$B,A15,BOM_V57!$M:$M)+SUMIF(BOM_v6!$B:$B,A15,BOM_v6!$M:$M)</f>
        <v>143</v>
      </c>
      <c r="G15" s="6" t="n">
        <f aca="false">MAX(0,F15-E15)</f>
        <v>90</v>
      </c>
      <c r="H15" s="42" t="s">
        <v>889</v>
      </c>
    </row>
    <row r="16" customFormat="false" ht="31.5" hidden="false" customHeight="true" outlineLevel="0" collapsed="false">
      <c r="A16" s="2" t="s">
        <v>592</v>
      </c>
      <c r="B16" s="2" t="s">
        <v>593</v>
      </c>
      <c r="C16" s="2" t="s">
        <v>890</v>
      </c>
      <c r="D16" s="41" t="s">
        <v>891</v>
      </c>
      <c r="E16" s="22" t="n">
        <v>0</v>
      </c>
      <c r="F16" s="5" t="n">
        <f aca="false">SUMIF(BOM_V56!$B:$B,A16,BOM_V56!$M:$M)+SUMIF(BOM_V57!$B:$B,A16,BOM_V57!$M:$M)+SUMIF(BOM_v6!$B:$B,A16,BOM_v6!$M:$M)</f>
        <v>432</v>
      </c>
      <c r="G16" s="6" t="n">
        <f aca="false">MAX(0,F16-E16)</f>
        <v>432</v>
      </c>
      <c r="H16" s="42" t="s">
        <v>892</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2026-10-26T23:50:16Z</dcterms:created>
  <dc:creator>openpyxl</dc:creator>
  <dc:description/>
  <dc:language>en-US</dc:language>
  <cp:lastModifiedBy/>
  <dcterms:modified xsi:type="dcterms:W3CDTF">2026-10-26T23:50:16Z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